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4C80FCCA-B4E9-4A1F-9BC2-C279408A8382}" xr6:coauthVersionLast="47" xr6:coauthVersionMax="47" xr10:uidLastSave="{00000000-0000-0000-0000-000000000000}"/>
  <bookViews>
    <workbookView xWindow="6225" yWindow="2190" windowWidth="21555" windowHeight="11385" tabRatio="856" activeTab="5" xr2:uid="{00000000-000D-0000-FFFF-FFFF00000000}"/>
  </bookViews>
  <sheets>
    <sheet name="OPĆI DIO" sheetId="10" r:id="rId1"/>
    <sheet name="opći po ekonomskoj" sheetId="14" r:id="rId2"/>
    <sheet name="Rashodi prema funkcijskoj k" sheetId="17" r:id="rId3"/>
    <sheet name=" po izvorima financiranja" sheetId="16" r:id="rId4"/>
    <sheet name="rashodi-programska" sheetId="8" r:id="rId5"/>
    <sheet name="prihodi programska" sheetId="11" r:id="rId6"/>
  </sheets>
  <definedNames>
    <definedName name="_xlnm.Print_Area" localSheetId="0">'OPĆI DIO'!$A$1:$K$36</definedName>
    <definedName name="_xlnm.Print_Area" localSheetId="1">'opći po ekonomskoj'!$A$1:$H$56</definedName>
    <definedName name="_xlnm.Print_Area" localSheetId="2">'Rashodi prema funkcijskoj k'!$B$1:$H$20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6" l="1"/>
  <c r="G35" i="16"/>
  <c r="G33" i="16"/>
  <c r="G32" i="16"/>
  <c r="G30" i="16"/>
  <c r="G29" i="16"/>
  <c r="G27" i="16"/>
  <c r="G26" i="16"/>
  <c r="G24" i="16"/>
  <c r="G23" i="16"/>
  <c r="G21" i="16"/>
  <c r="G20" i="16"/>
  <c r="G18" i="16"/>
  <c r="G17" i="16"/>
  <c r="G15" i="16"/>
  <c r="G14" i="16"/>
  <c r="H38" i="16"/>
  <c r="H37" i="16"/>
  <c r="G38" i="16"/>
  <c r="G37" i="16"/>
  <c r="H36" i="16"/>
  <c r="H35" i="16"/>
  <c r="H33" i="16"/>
  <c r="H32" i="16"/>
  <c r="H30" i="16"/>
  <c r="H29" i="16"/>
  <c r="H27" i="16"/>
  <c r="H26" i="16"/>
  <c r="H24" i="16"/>
  <c r="H23" i="16"/>
  <c r="H21" i="16"/>
  <c r="H20" i="16"/>
  <c r="H18" i="16"/>
  <c r="H17" i="16"/>
  <c r="H15" i="16"/>
  <c r="H14" i="16"/>
  <c r="E36" i="16"/>
  <c r="E38" i="16" s="1"/>
  <c r="E37" i="16"/>
  <c r="E33" i="16"/>
  <c r="E32" i="16"/>
  <c r="E27" i="16"/>
  <c r="E26" i="16"/>
  <c r="E24" i="16"/>
  <c r="E23" i="16"/>
  <c r="E21" i="16"/>
  <c r="E20" i="16"/>
  <c r="E18" i="16"/>
  <c r="E17" i="16"/>
  <c r="D21" i="16"/>
  <c r="D33" i="16"/>
  <c r="D32" i="16"/>
  <c r="D27" i="16"/>
  <c r="D26" i="16"/>
  <c r="D24" i="16"/>
  <c r="D23" i="16"/>
  <c r="D20" i="16"/>
  <c r="D18" i="16"/>
  <c r="D17" i="16"/>
  <c r="H9" i="17"/>
  <c r="H8" i="17"/>
  <c r="H7" i="17"/>
  <c r="H6" i="17"/>
  <c r="H19" i="10"/>
  <c r="H16" i="10"/>
  <c r="K16" i="10" s="1"/>
  <c r="H18" i="10"/>
  <c r="K18" i="10" s="1"/>
  <c r="H17" i="10"/>
  <c r="K17" i="10" s="1"/>
  <c r="E39" i="14"/>
  <c r="H39" i="14" s="1"/>
  <c r="D108" i="8"/>
  <c r="E29" i="14"/>
  <c r="H13" i="10"/>
  <c r="K13" i="10" s="1"/>
  <c r="E13" i="14"/>
  <c r="H13" i="14" s="1"/>
  <c r="E14" i="14"/>
  <c r="H14" i="14" s="1"/>
  <c r="E19" i="14"/>
  <c r="H19" i="14" s="1"/>
  <c r="E21" i="14"/>
  <c r="H21" i="14" s="1"/>
  <c r="E24" i="14"/>
  <c r="H24" i="14" s="1"/>
  <c r="E25" i="14"/>
  <c r="H25" i="14" s="1"/>
  <c r="E23" i="14"/>
  <c r="H23" i="14" s="1"/>
  <c r="E22" i="14"/>
  <c r="E20" i="14"/>
  <c r="H20" i="14" s="1"/>
  <c r="E18" i="14"/>
  <c r="E16" i="14"/>
  <c r="H16" i="14" s="1"/>
  <c r="H14" i="10"/>
  <c r="K14" i="10" s="1"/>
  <c r="K15" i="10"/>
  <c r="G49" i="14"/>
  <c r="H29" i="14"/>
  <c r="H26" i="14"/>
  <c r="H48" i="14"/>
  <c r="H46" i="14"/>
  <c r="H44" i="14"/>
  <c r="H34" i="14"/>
  <c r="H27" i="14"/>
  <c r="H52" i="14"/>
  <c r="H49" i="14"/>
  <c r="H47" i="14"/>
  <c r="H45" i="14"/>
  <c r="H43" i="14"/>
  <c r="H42" i="14"/>
  <c r="H41" i="14"/>
  <c r="H40" i="14"/>
  <c r="H37" i="14"/>
  <c r="H36" i="14"/>
  <c r="H35" i="14"/>
  <c r="H28" i="14"/>
  <c r="H22" i="14"/>
  <c r="H18" i="14"/>
  <c r="H17" i="14"/>
  <c r="H15" i="14"/>
  <c r="F41" i="14" l="1"/>
  <c r="F39" i="14"/>
  <c r="F37" i="14"/>
  <c r="F36" i="14"/>
  <c r="F35" i="14"/>
  <c r="F40" i="14"/>
  <c r="E40" i="14"/>
  <c r="E38" i="14" s="1"/>
  <c r="H38" i="14" s="1"/>
  <c r="E37" i="14"/>
  <c r="E44" i="14"/>
  <c r="E46" i="14"/>
  <c r="E48" i="14"/>
  <c r="E53" i="14"/>
  <c r="H53" i="14" s="1"/>
  <c r="E52" i="14"/>
  <c r="E49" i="14"/>
  <c r="E47" i="14"/>
  <c r="E45" i="14"/>
  <c r="E43" i="14"/>
  <c r="E42" i="14"/>
  <c r="E41" i="14"/>
  <c r="E34" i="14"/>
  <c r="E36" i="14"/>
  <c r="E35" i="14"/>
  <c r="D40" i="14"/>
  <c r="C18" i="14"/>
  <c r="C25" i="14"/>
  <c r="F33" i="16"/>
  <c r="F36" i="16"/>
  <c r="C33" i="16"/>
  <c r="C32" i="16"/>
  <c r="G71" i="11"/>
  <c r="G68" i="11"/>
  <c r="G65" i="11"/>
  <c r="G62" i="11"/>
  <c r="G59" i="11"/>
  <c r="G47" i="11"/>
  <c r="G43" i="11"/>
  <c r="G42" i="11"/>
  <c r="G38" i="11"/>
  <c r="G36" i="11"/>
  <c r="G34" i="11"/>
  <c r="G32" i="11"/>
  <c r="G30" i="11"/>
  <c r="G26" i="11"/>
  <c r="G22" i="11"/>
  <c r="G21" i="11"/>
  <c r="G16" i="11"/>
  <c r="F55" i="11"/>
  <c r="F51" i="11"/>
  <c r="F33" i="11"/>
  <c r="G33" i="11" s="1"/>
  <c r="E51" i="11"/>
  <c r="E50" i="11" s="1"/>
  <c r="E49" i="11" s="1"/>
  <c r="E55" i="11"/>
  <c r="E53" i="11" s="1"/>
  <c r="E52" i="11" s="1"/>
  <c r="E67" i="11"/>
  <c r="E66" i="11" s="1"/>
  <c r="E64" i="11"/>
  <c r="E63" i="11" s="1"/>
  <c r="E61" i="11"/>
  <c r="E60" i="11" s="1"/>
  <c r="E58" i="11"/>
  <c r="E57" i="11" s="1"/>
  <c r="E41" i="11"/>
  <c r="E40" i="11" s="1"/>
  <c r="E39" i="11" s="1"/>
  <c r="E31" i="11"/>
  <c r="E28" i="11" s="1"/>
  <c r="E27" i="11" s="1"/>
  <c r="E25" i="11"/>
  <c r="E24" i="11" s="1"/>
  <c r="E23" i="11" s="1"/>
  <c r="E20" i="11"/>
  <c r="E19" i="11" s="1"/>
  <c r="E18" i="11" s="1"/>
  <c r="E15" i="11"/>
  <c r="E14" i="11" s="1"/>
  <c r="E13" i="11" s="1"/>
  <c r="F268" i="8"/>
  <c r="F263" i="8"/>
  <c r="F258" i="8"/>
  <c r="F239" i="8"/>
  <c r="F232" i="8"/>
  <c r="F208" i="8"/>
  <c r="F73" i="8"/>
  <c r="F32" i="8"/>
  <c r="F280" i="8"/>
  <c r="F269" i="8"/>
  <c r="F264" i="8"/>
  <c r="F259" i="8"/>
  <c r="F246" i="8"/>
  <c r="F240" i="8"/>
  <c r="F233" i="8"/>
  <c r="F220" i="8"/>
  <c r="F209" i="8"/>
  <c r="F200" i="8"/>
  <c r="F179" i="8"/>
  <c r="F132" i="8"/>
  <c r="F110" i="8"/>
  <c r="F74" i="8"/>
  <c r="F3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79" i="8"/>
  <c r="F278" i="8"/>
  <c r="F277" i="8"/>
  <c r="F276" i="8"/>
  <c r="F275" i="8"/>
  <c r="F274" i="8"/>
  <c r="F273" i="8"/>
  <c r="F272" i="8"/>
  <c r="F271" i="8"/>
  <c r="F270" i="8"/>
  <c r="F267" i="8"/>
  <c r="F266" i="8"/>
  <c r="F265" i="8"/>
  <c r="F262" i="8"/>
  <c r="F261" i="8"/>
  <c r="F260" i="8"/>
  <c r="F257" i="8"/>
  <c r="F256" i="8"/>
  <c r="F255" i="8"/>
  <c r="F254" i="8"/>
  <c r="F253" i="8"/>
  <c r="F252" i="8"/>
  <c r="F251" i="8"/>
  <c r="F250" i="8"/>
  <c r="F249" i="8"/>
  <c r="F248" i="8"/>
  <c r="F247" i="8"/>
  <c r="F245" i="8"/>
  <c r="F244" i="8"/>
  <c r="F243" i="8"/>
  <c r="F242" i="8"/>
  <c r="F241" i="8"/>
  <c r="F238" i="8"/>
  <c r="F237" i="8"/>
  <c r="F236" i="8"/>
  <c r="F235" i="8"/>
  <c r="F234" i="8"/>
  <c r="F231" i="8"/>
  <c r="F230" i="8"/>
  <c r="F229" i="8"/>
  <c r="F228" i="8"/>
  <c r="F227" i="8"/>
  <c r="F226" i="8"/>
  <c r="F225" i="8"/>
  <c r="F224" i="8"/>
  <c r="F223" i="8"/>
  <c r="F222" i="8"/>
  <c r="F221" i="8"/>
  <c r="F219" i="8"/>
  <c r="F218" i="8"/>
  <c r="F217" i="8"/>
  <c r="F216" i="8"/>
  <c r="F215" i="8"/>
  <c r="F214" i="8"/>
  <c r="F213" i="8"/>
  <c r="F212" i="8"/>
  <c r="F211" i="8"/>
  <c r="F210" i="8"/>
  <c r="F207" i="8"/>
  <c r="F206" i="8"/>
  <c r="F205" i="8"/>
  <c r="F204" i="8"/>
  <c r="F203" i="8"/>
  <c r="F202" i="8"/>
  <c r="F201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E11" i="8"/>
  <c r="D11" i="8"/>
  <c r="C11" i="8"/>
  <c r="D12" i="8"/>
  <c r="D13" i="8"/>
  <c r="D14" i="8"/>
  <c r="E15" i="8"/>
  <c r="E73" i="8"/>
  <c r="D15" i="8"/>
  <c r="D73" i="8"/>
  <c r="C73" i="8"/>
  <c r="C15" i="8" s="1"/>
  <c r="D268" i="8"/>
  <c r="D239" i="8"/>
  <c r="E289" i="8"/>
  <c r="D290" i="8"/>
  <c r="D289" i="8" s="1"/>
  <c r="D288" i="8" s="1"/>
  <c r="C289" i="8"/>
  <c r="C288" i="8" s="1"/>
  <c r="E288" i="8"/>
  <c r="E286" i="8"/>
  <c r="D286" i="8"/>
  <c r="C286" i="8"/>
  <c r="E284" i="8"/>
  <c r="D284" i="8"/>
  <c r="C284" i="8"/>
  <c r="E282" i="8"/>
  <c r="D282" i="8"/>
  <c r="D281" i="8" s="1"/>
  <c r="D280" i="8" s="1"/>
  <c r="C282" i="8"/>
  <c r="E278" i="8"/>
  <c r="E277" i="8" s="1"/>
  <c r="D278" i="8"/>
  <c r="D277" i="8" s="1"/>
  <c r="E275" i="8"/>
  <c r="D275" i="8"/>
  <c r="C275" i="8"/>
  <c r="C270" i="8" s="1"/>
  <c r="C269" i="8" s="1"/>
  <c r="E273" i="8"/>
  <c r="D273" i="8"/>
  <c r="E271" i="8"/>
  <c r="D271" i="8"/>
  <c r="C271" i="8"/>
  <c r="D266" i="8"/>
  <c r="D265" i="8" s="1"/>
  <c r="D264" i="8" s="1"/>
  <c r="D263" i="8" s="1"/>
  <c r="D261" i="8"/>
  <c r="D260" i="8" s="1"/>
  <c r="D259" i="8" s="1"/>
  <c r="D258" i="8" s="1"/>
  <c r="E236" i="8"/>
  <c r="E238" i="8"/>
  <c r="D235" i="8"/>
  <c r="D237" i="8"/>
  <c r="D234" i="8" s="1"/>
  <c r="D222" i="8"/>
  <c r="D221" i="8" s="1"/>
  <c r="D224" i="8"/>
  <c r="D226" i="8"/>
  <c r="D213" i="8"/>
  <c r="D210" i="8" s="1"/>
  <c r="D211" i="8"/>
  <c r="D215" i="8"/>
  <c r="D218" i="8"/>
  <c r="D217" i="8" s="1"/>
  <c r="D181" i="8"/>
  <c r="D198" i="8"/>
  <c r="D191" i="8"/>
  <c r="E187" i="8"/>
  <c r="D177" i="8"/>
  <c r="D170" i="8"/>
  <c r="D169" i="8" s="1"/>
  <c r="D167" i="8"/>
  <c r="D166" i="8" s="1"/>
  <c r="D155" i="8"/>
  <c r="D142" i="8"/>
  <c r="E116" i="8"/>
  <c r="D119" i="8"/>
  <c r="D112" i="8"/>
  <c r="E51" i="14" l="1"/>
  <c r="E33" i="14"/>
  <c r="H33" i="14" s="1"/>
  <c r="G51" i="11"/>
  <c r="G55" i="11"/>
  <c r="E48" i="11"/>
  <c r="E56" i="11"/>
  <c r="E12" i="11"/>
  <c r="E73" i="11" s="1"/>
  <c r="D209" i="8"/>
  <c r="E281" i="8"/>
  <c r="D270" i="8"/>
  <c r="D269" i="8" s="1"/>
  <c r="E280" i="8"/>
  <c r="E270" i="8"/>
  <c r="C281" i="8"/>
  <c r="C280" i="8" s="1"/>
  <c r="C268" i="8" s="1"/>
  <c r="D101" i="8"/>
  <c r="D100" i="8" s="1"/>
  <c r="D97" i="8"/>
  <c r="E31" i="8"/>
  <c r="E29" i="8"/>
  <c r="E26" i="8"/>
  <c r="E24" i="8"/>
  <c r="E22" i="8"/>
  <c r="E21" i="8"/>
  <c r="E20" i="8"/>
  <c r="D69" i="8"/>
  <c r="D68" i="8" s="1"/>
  <c r="D62" i="8"/>
  <c r="D35" i="8"/>
  <c r="D34" i="8" s="1"/>
  <c r="D30" i="8"/>
  <c r="D28" i="8"/>
  <c r="D27" i="8" s="1"/>
  <c r="D25" i="8"/>
  <c r="D23" i="8"/>
  <c r="F32" i="16"/>
  <c r="F35" i="16"/>
  <c r="F53" i="11"/>
  <c r="G53" i="11" s="1"/>
  <c r="E218" i="8"/>
  <c r="E213" i="8"/>
  <c r="E112" i="8"/>
  <c r="D51" i="11"/>
  <c r="D55" i="11"/>
  <c r="C144" i="8"/>
  <c r="C123" i="8"/>
  <c r="H51" i="14" l="1"/>
  <c r="E50" i="14"/>
  <c r="H50" i="14" s="1"/>
  <c r="E217" i="8"/>
  <c r="E269" i="8"/>
  <c r="L23" i="10"/>
  <c r="E54" i="14" l="1"/>
  <c r="H54" i="14" s="1"/>
  <c r="E268" i="8"/>
  <c r="C37" i="16" l="1"/>
  <c r="D7" i="17"/>
  <c r="D6" i="17" s="1"/>
  <c r="F7" i="17"/>
  <c r="F6" i="17" s="1"/>
  <c r="C7" i="17"/>
  <c r="C6" i="17" s="1"/>
  <c r="E7" i="17" l="1"/>
  <c r="E6" i="17" s="1"/>
  <c r="C38" i="16"/>
  <c r="D14" i="16"/>
  <c r="F15" i="11" l="1"/>
  <c r="G15" i="11" s="1"/>
  <c r="D15" i="11"/>
  <c r="D53" i="11"/>
  <c r="D52" i="11" s="1"/>
  <c r="C261" i="8"/>
  <c r="E261" i="8"/>
  <c r="C211" i="8"/>
  <c r="E211" i="8"/>
  <c r="C215" i="8"/>
  <c r="E215" i="8"/>
  <c r="D231" i="8"/>
  <c r="D230" i="8"/>
  <c r="E229" i="8"/>
  <c r="E228" i="8" s="1"/>
  <c r="C229" i="8"/>
  <c r="D229" i="8" s="1"/>
  <c r="E226" i="8"/>
  <c r="C226" i="8"/>
  <c r="E224" i="8"/>
  <c r="C224" i="8"/>
  <c r="E222" i="8"/>
  <c r="C222" i="8"/>
  <c r="E195" i="8"/>
  <c r="C195" i="8"/>
  <c r="E198" i="8"/>
  <c r="C198" i="8"/>
  <c r="C128" i="8"/>
  <c r="E114" i="8"/>
  <c r="D118" i="8"/>
  <c r="C114" i="8"/>
  <c r="E210" i="8" l="1"/>
  <c r="E209" i="8" s="1"/>
  <c r="E194" i="8"/>
  <c r="C228" i="8"/>
  <c r="D228" i="8" s="1"/>
  <c r="D220" i="8" s="1"/>
  <c r="D208" i="8" s="1"/>
  <c r="D25" i="14"/>
  <c r="F25" i="14"/>
  <c r="F52" i="11"/>
  <c r="G52" i="11" s="1"/>
  <c r="C210" i="8"/>
  <c r="C209" i="8" s="1"/>
  <c r="E260" i="8"/>
  <c r="C260" i="8"/>
  <c r="C194" i="8"/>
  <c r="C221" i="8"/>
  <c r="E221" i="8"/>
  <c r="D21" i="8"/>
  <c r="D19" i="8" s="1"/>
  <c r="D18" i="8" s="1"/>
  <c r="D17" i="8" s="1"/>
  <c r="D40" i="8"/>
  <c r="D38" i="8" s="1"/>
  <c r="D45" i="8"/>
  <c r="D47" i="8"/>
  <c r="D52" i="8"/>
  <c r="D59" i="8"/>
  <c r="D60" i="8"/>
  <c r="D61" i="8"/>
  <c r="D77" i="8"/>
  <c r="D79" i="8"/>
  <c r="D81" i="8"/>
  <c r="D84" i="8"/>
  <c r="D83" i="8" s="1"/>
  <c r="D89" i="8"/>
  <c r="D86" i="8" s="1"/>
  <c r="D93" i="8"/>
  <c r="D94" i="8"/>
  <c r="D95" i="8"/>
  <c r="D103" i="8"/>
  <c r="D104" i="8"/>
  <c r="D105" i="8"/>
  <c r="D106" i="8"/>
  <c r="D107" i="8"/>
  <c r="D115" i="8"/>
  <c r="D114" i="8" s="1"/>
  <c r="D121" i="8"/>
  <c r="D122" i="8"/>
  <c r="D124" i="8"/>
  <c r="D125" i="8"/>
  <c r="D128" i="8"/>
  <c r="D129" i="8"/>
  <c r="D130" i="8"/>
  <c r="D131" i="8"/>
  <c r="D135" i="8"/>
  <c r="D137" i="8"/>
  <c r="D139" i="8"/>
  <c r="D140" i="8"/>
  <c r="D146" i="8"/>
  <c r="D147" i="8"/>
  <c r="D149" i="8"/>
  <c r="D150" i="8"/>
  <c r="D152" i="8"/>
  <c r="D153" i="8"/>
  <c r="D158" i="8"/>
  <c r="D159" i="8"/>
  <c r="D160" i="8"/>
  <c r="D161" i="8"/>
  <c r="D165" i="8"/>
  <c r="D174" i="8"/>
  <c r="D175" i="8"/>
  <c r="D176" i="8"/>
  <c r="D184" i="8"/>
  <c r="D183" i="8" s="1"/>
  <c r="D189" i="8"/>
  <c r="D187" i="8" s="1"/>
  <c r="D196" i="8"/>
  <c r="D195" i="8" s="1"/>
  <c r="D194" i="8" s="1"/>
  <c r="D202" i="8"/>
  <c r="D203" i="8"/>
  <c r="D205" i="8"/>
  <c r="D206" i="8"/>
  <c r="D207" i="8"/>
  <c r="D243" i="8"/>
  <c r="D245" i="8"/>
  <c r="D249" i="8"/>
  <c r="D251" i="8"/>
  <c r="D253" i="8"/>
  <c r="D257" i="8"/>
  <c r="D255" i="8" s="1"/>
  <c r="D254" i="8" s="1"/>
  <c r="G7" i="17"/>
  <c r="G8" i="17"/>
  <c r="G9" i="17"/>
  <c r="G6" i="17"/>
  <c r="D157" i="8" l="1"/>
  <c r="D43" i="8"/>
  <c r="D180" i="8"/>
  <c r="D179" i="8" s="1"/>
  <c r="D91" i="8"/>
  <c r="D144" i="8"/>
  <c r="D82" i="8"/>
  <c r="D148" i="8"/>
  <c r="D50" i="8"/>
  <c r="D37" i="8" s="1"/>
  <c r="D33" i="8" s="1"/>
  <c r="D123" i="8"/>
  <c r="D111" i="8" s="1"/>
  <c r="E259" i="8"/>
  <c r="C259" i="8"/>
  <c r="C220" i="8"/>
  <c r="C208" i="8" s="1"/>
  <c r="E220" i="8"/>
  <c r="E208" i="8" s="1"/>
  <c r="H24" i="10"/>
  <c r="H23" i="10"/>
  <c r="F14" i="16"/>
  <c r="D141" i="8" l="1"/>
  <c r="C258" i="8"/>
  <c r="E258" i="8"/>
  <c r="E235" i="8"/>
  <c r="E237" i="8"/>
  <c r="C237" i="8"/>
  <c r="C235" i="8"/>
  <c r="E35" i="16"/>
  <c r="E242" i="8"/>
  <c r="C242" i="8"/>
  <c r="E244" i="8"/>
  <c r="C244" i="8"/>
  <c r="D244" i="8" s="1"/>
  <c r="G48" i="14"/>
  <c r="C48" i="14"/>
  <c r="E170" i="8"/>
  <c r="F49" i="14" s="1"/>
  <c r="F48" i="14" s="1"/>
  <c r="C170" i="8"/>
  <c r="E169" i="8" l="1"/>
  <c r="E234" i="8"/>
  <c r="C241" i="8"/>
  <c r="D241" i="8" s="1"/>
  <c r="D242" i="8"/>
  <c r="D49" i="14"/>
  <c r="E241" i="8"/>
  <c r="E240" i="8" s="1"/>
  <c r="C234" i="8"/>
  <c r="C169" i="8"/>
  <c r="C173" i="8"/>
  <c r="D173" i="8" s="1"/>
  <c r="D172" i="8" s="1"/>
  <c r="C148" i="8"/>
  <c r="C80" i="8"/>
  <c r="D80" i="8" s="1"/>
  <c r="C76" i="8"/>
  <c r="D76" i="8" s="1"/>
  <c r="C38" i="8"/>
  <c r="D20" i="11"/>
  <c r="D29" i="11"/>
  <c r="D25" i="11"/>
  <c r="D50" i="11"/>
  <c r="D46" i="11"/>
  <c r="D41" i="11"/>
  <c r="D37" i="11"/>
  <c r="D35" i="11"/>
  <c r="D31" i="11"/>
  <c r="E266" i="8"/>
  <c r="C266" i="8"/>
  <c r="C255" i="8"/>
  <c r="C252" i="8"/>
  <c r="D252" i="8" s="1"/>
  <c r="C250" i="8"/>
  <c r="D250" i="8" s="1"/>
  <c r="C248" i="8"/>
  <c r="D248" i="8" s="1"/>
  <c r="C181" i="8"/>
  <c r="C183" i="8"/>
  <c r="C177" i="8"/>
  <c r="C167" i="8"/>
  <c r="C164" i="8"/>
  <c r="D164" i="8" s="1"/>
  <c r="C157" i="8"/>
  <c r="C142" i="8"/>
  <c r="C138" i="8"/>
  <c r="D138" i="8" s="1"/>
  <c r="C134" i="8"/>
  <c r="D134" i="8" s="1"/>
  <c r="C136" i="8"/>
  <c r="D136" i="8" s="1"/>
  <c r="C78" i="8"/>
  <c r="D78" i="8" s="1"/>
  <c r="C25" i="8"/>
  <c r="C108" i="8"/>
  <c r="C101" i="8"/>
  <c r="C97" i="8"/>
  <c r="C91" i="8"/>
  <c r="C83" i="8"/>
  <c r="C86" i="8"/>
  <c r="E28" i="8"/>
  <c r="C28" i="8"/>
  <c r="C30" i="8"/>
  <c r="C23" i="8"/>
  <c r="C19" i="8"/>
  <c r="C69" i="8"/>
  <c r="C62" i="8"/>
  <c r="C50" i="8"/>
  <c r="C35" i="8"/>
  <c r="C43" i="8"/>
  <c r="D48" i="14" l="1"/>
  <c r="D39" i="14"/>
  <c r="D53" i="14"/>
  <c r="D37" i="14"/>
  <c r="D35" i="14"/>
  <c r="D36" i="14"/>
  <c r="C265" i="8"/>
  <c r="C233" i="8"/>
  <c r="D233" i="8" s="1"/>
  <c r="C240" i="8"/>
  <c r="D240" i="8" s="1"/>
  <c r="C166" i="8"/>
  <c r="C34" i="8"/>
  <c r="E233" i="8"/>
  <c r="C27" i="8"/>
  <c r="E265" i="8"/>
  <c r="E264" i="8" s="1"/>
  <c r="C37" i="8"/>
  <c r="E35" i="8"/>
  <c r="E38" i="8"/>
  <c r="C264" i="8" l="1"/>
  <c r="C232" i="8"/>
  <c r="D232" i="8" s="1"/>
  <c r="C263" i="8"/>
  <c r="E232" i="8"/>
  <c r="E263" i="8" l="1"/>
  <c r="I25" i="10"/>
  <c r="G25" i="10"/>
  <c r="H25" i="10" s="1"/>
  <c r="D52" i="14"/>
  <c r="D47" i="14"/>
  <c r="D45" i="14"/>
  <c r="D43" i="14"/>
  <c r="D42" i="14"/>
  <c r="D41" i="14"/>
  <c r="D28" i="14"/>
  <c r="D24" i="14"/>
  <c r="D23" i="14"/>
  <c r="D22" i="14"/>
  <c r="D20" i="14"/>
  <c r="D18" i="14"/>
  <c r="D17" i="14"/>
  <c r="E17" i="14" s="1"/>
  <c r="D15" i="14"/>
  <c r="E15" i="14" s="1"/>
  <c r="D27" i="14" l="1"/>
  <c r="E28" i="14"/>
  <c r="D19" i="14"/>
  <c r="D44" i="14"/>
  <c r="D46" i="14"/>
  <c r="D21" i="14"/>
  <c r="D38" i="14"/>
  <c r="D51" i="14"/>
  <c r="D34" i="14"/>
  <c r="E19" i="8"/>
  <c r="E255" i="8"/>
  <c r="D26" i="14" l="1"/>
  <c r="E27" i="14"/>
  <c r="D33" i="14"/>
  <c r="D50" i="14"/>
  <c r="E83" i="8"/>
  <c r="G15" i="10" l="1"/>
  <c r="H15" i="10" s="1"/>
  <c r="E26" i="14"/>
  <c r="G18" i="10"/>
  <c r="D54" i="14"/>
  <c r="G17" i="10"/>
  <c r="A2" i="8" l="1"/>
  <c r="A7" i="16"/>
  <c r="A7" i="14"/>
  <c r="F31" i="11" l="1"/>
  <c r="G31" i="11" s="1"/>
  <c r="F16" i="14" l="1"/>
  <c r="G16" i="14" s="1"/>
  <c r="C163" i="8"/>
  <c r="D163" i="8" s="1"/>
  <c r="E248" i="8"/>
  <c r="E173" i="8"/>
  <c r="E138" i="8"/>
  <c r="E43" i="8"/>
  <c r="F35" i="11"/>
  <c r="G35" i="11" s="1"/>
  <c r="F50" i="11"/>
  <c r="G50" i="11" s="1"/>
  <c r="D49" i="11"/>
  <c r="D48" i="11" s="1"/>
  <c r="D28" i="11" l="1"/>
  <c r="D16" i="14"/>
  <c r="F17" i="14"/>
  <c r="F49" i="11"/>
  <c r="G49" i="11" s="1"/>
  <c r="C254" i="8"/>
  <c r="E252" i="8"/>
  <c r="E250" i="8"/>
  <c r="C247" i="8"/>
  <c r="D247" i="8" s="1"/>
  <c r="D246" i="8" s="1"/>
  <c r="E164" i="8"/>
  <c r="E136" i="8"/>
  <c r="E134" i="8"/>
  <c r="C133" i="8"/>
  <c r="D133" i="8" s="1"/>
  <c r="D132" i="8" s="1"/>
  <c r="E128" i="8"/>
  <c r="C127" i="8"/>
  <c r="D127" i="8" s="1"/>
  <c r="D110" i="8" s="1"/>
  <c r="C75" i="8"/>
  <c r="D75" i="8" s="1"/>
  <c r="D74" i="8" s="1"/>
  <c r="E78" i="8"/>
  <c r="F48" i="11" l="1"/>
  <c r="G48" i="11" s="1"/>
  <c r="G17" i="14"/>
  <c r="D14" i="14"/>
  <c r="E163" i="8"/>
  <c r="E133" i="8"/>
  <c r="E247" i="8"/>
  <c r="E254" i="8"/>
  <c r="C246" i="8"/>
  <c r="C46" i="14"/>
  <c r="C44" i="14"/>
  <c r="C27" i="14"/>
  <c r="C24" i="14"/>
  <c r="C19" i="14"/>
  <c r="D13" i="14" l="1"/>
  <c r="C239" i="8"/>
  <c r="C26" i="14"/>
  <c r="E246" i="8"/>
  <c r="C51" i="14"/>
  <c r="C34" i="14"/>
  <c r="C38" i="14"/>
  <c r="C21" i="14"/>
  <c r="F70" i="11"/>
  <c r="G70" i="11" s="1"/>
  <c r="D70" i="11"/>
  <c r="D69" i="11" s="1"/>
  <c r="F67" i="11"/>
  <c r="G67" i="11" s="1"/>
  <c r="F64" i="11"/>
  <c r="G64" i="11" s="1"/>
  <c r="D64" i="11"/>
  <c r="D63" i="11" s="1"/>
  <c r="F61" i="11"/>
  <c r="G61" i="11" s="1"/>
  <c r="F58" i="11"/>
  <c r="G58" i="11" s="1"/>
  <c r="D58" i="11"/>
  <c r="D57" i="11" s="1"/>
  <c r="D67" i="11"/>
  <c r="D66" i="11" s="1"/>
  <c r="D61" i="11"/>
  <c r="D60" i="11" s="1"/>
  <c r="C33" i="14" l="1"/>
  <c r="E239" i="8"/>
  <c r="D29" i="14"/>
  <c r="G14" i="10"/>
  <c r="D56" i="11"/>
  <c r="C50" i="14"/>
  <c r="F15" i="10"/>
  <c r="F60" i="11"/>
  <c r="G60" i="11" s="1"/>
  <c r="F69" i="11"/>
  <c r="G69" i="11" s="1"/>
  <c r="F66" i="11"/>
  <c r="G66" i="11" s="1"/>
  <c r="F63" i="11"/>
  <c r="G63" i="11" s="1"/>
  <c r="F17" i="10"/>
  <c r="F57" i="11"/>
  <c r="G57" i="11" s="1"/>
  <c r="F56" i="11" l="1"/>
  <c r="G56" i="11" s="1"/>
  <c r="F18" i="10"/>
  <c r="F16" i="10" s="1"/>
  <c r="G16" i="10"/>
  <c r="C54" i="14"/>
  <c r="D45" i="11"/>
  <c r="D44" i="11" s="1"/>
  <c r="D29" i="16" s="1"/>
  <c r="E29" i="16" s="1"/>
  <c r="F46" i="11"/>
  <c r="G46" i="11" s="1"/>
  <c r="D40" i="11"/>
  <c r="D39" i="11" s="1"/>
  <c r="F41" i="11"/>
  <c r="G41" i="11" s="1"/>
  <c r="F23" i="14" l="1"/>
  <c r="F28" i="14"/>
  <c r="F45" i="11"/>
  <c r="G45" i="11" s="1"/>
  <c r="F40" i="11"/>
  <c r="G40" i="11" s="1"/>
  <c r="F37" i="11"/>
  <c r="G37" i="11" s="1"/>
  <c r="F29" i="11"/>
  <c r="G29" i="11" s="1"/>
  <c r="D24" i="11"/>
  <c r="D23" i="11" s="1"/>
  <c r="F25" i="11"/>
  <c r="G25" i="11" s="1"/>
  <c r="D19" i="11"/>
  <c r="D14" i="11"/>
  <c r="D13" i="11" s="1"/>
  <c r="F20" i="11"/>
  <c r="G20" i="11" s="1"/>
  <c r="D18" i="11" l="1"/>
  <c r="E14" i="16"/>
  <c r="F15" i="14"/>
  <c r="G28" i="14"/>
  <c r="F27" i="14"/>
  <c r="F20" i="14"/>
  <c r="F18" i="14"/>
  <c r="F14" i="14" s="1"/>
  <c r="G23" i="14"/>
  <c r="F22" i="14"/>
  <c r="F28" i="11"/>
  <c r="G28" i="11" s="1"/>
  <c r="F39" i="11"/>
  <c r="G39" i="11" s="1"/>
  <c r="C14" i="14"/>
  <c r="D27" i="11"/>
  <c r="F44" i="11"/>
  <c r="G44" i="11" s="1"/>
  <c r="F19" i="11"/>
  <c r="G19" i="11" s="1"/>
  <c r="F24" i="11"/>
  <c r="G24" i="11" s="1"/>
  <c r="D12" i="11" l="1"/>
  <c r="D73" i="11" s="1"/>
  <c r="G15" i="14"/>
  <c r="F26" i="16"/>
  <c r="G18" i="14"/>
  <c r="F26" i="14"/>
  <c r="G27" i="14"/>
  <c r="G14" i="14"/>
  <c r="G20" i="14"/>
  <c r="F19" i="14"/>
  <c r="F29" i="16"/>
  <c r="G22" i="14"/>
  <c r="C13" i="14"/>
  <c r="C29" i="14" s="1"/>
  <c r="F21" i="14"/>
  <c r="F23" i="11"/>
  <c r="G23" i="11" s="1"/>
  <c r="G13" i="10"/>
  <c r="F18" i="11"/>
  <c r="G18" i="11" s="1"/>
  <c r="D37" i="16" l="1"/>
  <c r="G19" i="10"/>
  <c r="G26" i="14"/>
  <c r="F20" i="16"/>
  <c r="G19" i="14"/>
  <c r="G21" i="14"/>
  <c r="F14" i="10"/>
  <c r="F13" i="10" s="1"/>
  <c r="F19" i="10" s="1"/>
  <c r="F27" i="10" s="1"/>
  <c r="F17" i="16"/>
  <c r="I15" i="10"/>
  <c r="H27" i="10" l="1"/>
  <c r="G27" i="10"/>
  <c r="J15" i="10"/>
  <c r="C204" i="8"/>
  <c r="D204" i="8" s="1"/>
  <c r="C201" i="8"/>
  <c r="D201" i="8" s="1"/>
  <c r="E205" i="8"/>
  <c r="E202" i="8"/>
  <c r="C180" i="8"/>
  <c r="E191" i="8"/>
  <c r="E183" i="8"/>
  <c r="E181" i="8"/>
  <c r="C172" i="8"/>
  <c r="C141" i="8"/>
  <c r="E167" i="8"/>
  <c r="E177" i="8"/>
  <c r="E157" i="8"/>
  <c r="E155" i="8"/>
  <c r="E148" i="8"/>
  <c r="E144" i="8"/>
  <c r="E142" i="8"/>
  <c r="E141" i="8" s="1"/>
  <c r="C111" i="8"/>
  <c r="E119" i="8"/>
  <c r="E130" i="8"/>
  <c r="E123" i="8"/>
  <c r="E121" i="8"/>
  <c r="C100" i="8"/>
  <c r="C82" i="8"/>
  <c r="E97" i="8"/>
  <c r="E91" i="8"/>
  <c r="E108" i="8"/>
  <c r="E101" i="8"/>
  <c r="E86" i="8"/>
  <c r="E80" i="8"/>
  <c r="E76" i="8"/>
  <c r="E180" i="8" l="1"/>
  <c r="E179" i="8" s="1"/>
  <c r="E111" i="8"/>
  <c r="F53" i="14"/>
  <c r="C132" i="8"/>
  <c r="E201" i="8"/>
  <c r="F52" i="14"/>
  <c r="E166" i="8"/>
  <c r="F47" i="14"/>
  <c r="C200" i="8"/>
  <c r="D200" i="8" s="1"/>
  <c r="E127" i="8"/>
  <c r="E204" i="8"/>
  <c r="E75" i="8"/>
  <c r="C179" i="8"/>
  <c r="C110" i="8"/>
  <c r="E172" i="8"/>
  <c r="C74" i="8"/>
  <c r="E82" i="8"/>
  <c r="E100" i="8"/>
  <c r="C68" i="8"/>
  <c r="E69" i="8"/>
  <c r="E62" i="8"/>
  <c r="E50" i="8"/>
  <c r="C18" i="8"/>
  <c r="E30" i="8"/>
  <c r="E25" i="8"/>
  <c r="E23" i="8"/>
  <c r="E200" i="8" l="1"/>
  <c r="E132" i="8"/>
  <c r="E27" i="8"/>
  <c r="E18" i="8"/>
  <c r="D30" i="16"/>
  <c r="E30" i="16" s="1"/>
  <c r="F30" i="16"/>
  <c r="F46" i="14"/>
  <c r="G47" i="14"/>
  <c r="G52" i="14"/>
  <c r="F51" i="14"/>
  <c r="F42" i="14"/>
  <c r="G53" i="14"/>
  <c r="G40" i="14"/>
  <c r="G35" i="14"/>
  <c r="F45" i="14"/>
  <c r="F43" i="14"/>
  <c r="E110" i="8"/>
  <c r="E74" i="8"/>
  <c r="C33" i="8"/>
  <c r="E68" i="8"/>
  <c r="E37" i="8"/>
  <c r="E34" i="8"/>
  <c r="C17" i="8"/>
  <c r="F25" i="10"/>
  <c r="F38" i="14" l="1"/>
  <c r="E17" i="8"/>
  <c r="D15" i="16"/>
  <c r="E15" i="16" s="1"/>
  <c r="F21" i="16"/>
  <c r="F27" i="16"/>
  <c r="G42" i="14"/>
  <c r="G46" i="14"/>
  <c r="F50" i="14"/>
  <c r="G51" i="14"/>
  <c r="G37" i="14"/>
  <c r="G45" i="14"/>
  <c r="G36" i="14"/>
  <c r="G43" i="14"/>
  <c r="G39" i="14"/>
  <c r="G41" i="14"/>
  <c r="F18" i="16"/>
  <c r="F44" i="14"/>
  <c r="F34" i="14"/>
  <c r="C32" i="8"/>
  <c r="E33" i="8"/>
  <c r="D32" i="8" l="1"/>
  <c r="D16" i="8" s="1"/>
  <c r="C16" i="8"/>
  <c r="F15" i="16"/>
  <c r="F24" i="16"/>
  <c r="D38" i="16"/>
  <c r="F33" i="14"/>
  <c r="G50" i="14"/>
  <c r="G38" i="14"/>
  <c r="G44" i="14"/>
  <c r="G34" i="14"/>
  <c r="I18" i="10"/>
  <c r="E32" i="8"/>
  <c r="E16" i="8" l="1"/>
  <c r="E14" i="8" s="1"/>
  <c r="E13" i="8" s="1"/>
  <c r="E12" i="8" s="1"/>
  <c r="F38" i="16"/>
  <c r="C14" i="8"/>
  <c r="J18" i="10"/>
  <c r="G33" i="14"/>
  <c r="F54" i="14"/>
  <c r="I17" i="10"/>
  <c r="F14" i="11"/>
  <c r="G14" i="11" s="1"/>
  <c r="C13" i="8" l="1"/>
  <c r="J17" i="10"/>
  <c r="G25" i="14"/>
  <c r="G54" i="14"/>
  <c r="F24" i="14"/>
  <c r="I16" i="10"/>
  <c r="F13" i="11"/>
  <c r="G13" i="11" s="1"/>
  <c r="C12" i="8" l="1"/>
  <c r="J16" i="10"/>
  <c r="G24" i="14"/>
  <c r="F13" i="14"/>
  <c r="F27" i="11"/>
  <c r="G27" i="11" s="1"/>
  <c r="F23" i="16" l="1"/>
  <c r="G13" i="14"/>
  <c r="F29" i="14"/>
  <c r="F12" i="11"/>
  <c r="G12" i="11" s="1"/>
  <c r="F37" i="16" l="1"/>
  <c r="F73" i="11"/>
  <c r="G73" i="11" s="1"/>
  <c r="G29" i="14"/>
  <c r="I14" i="10"/>
  <c r="J14" i="10" l="1"/>
  <c r="I13" i="10"/>
  <c r="I19" i="10" l="1"/>
  <c r="I27" i="10" s="1"/>
  <c r="J13" i="10"/>
</calcChain>
</file>

<file path=xl/sharedStrings.xml><?xml version="1.0" encoding="utf-8"?>
<sst xmlns="http://schemas.openxmlformats.org/spreadsheetml/2006/main" count="593" uniqueCount="273">
  <si>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</si>
  <si>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</si>
  <si>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</si>
  <si>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</si>
  <si>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</si>
  <si>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</si>
  <si>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</si>
  <si>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</si>
  <si>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</si>
  <si>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</si>
  <si>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</si>
  <si>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</si>
  <si>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</si>
  <si>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</si>
  <si>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</si>
  <si>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</si>
  <si>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</si>
  <si>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</si>
  <si>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</si>
  <si>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</si>
  <si>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</si>
  <si>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</si>
  <si>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</si>
  <si>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</si>
  <si>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</si>
  <si>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</si>
  <si>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</si>
  <si>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</si>
  <si>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</si>
  <si>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</si>
  <si>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</si>
  <si>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</si>
  <si>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</si>
  <si>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</si>
  <si>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</si>
  <si>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</si>
  <si>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</si>
  <si>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</si>
  <si>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</si>
  <si>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</si>
  <si>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</si>
  <si>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</si>
  <si>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</si>
  <si>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</si>
  <si>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</si>
  <si>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</si>
  <si>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</si>
  <si>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</si>
  <si>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</si>
  <si>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</si>
  <si>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</si>
  <si>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</si>
  <si>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</si>
  <si>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</si>
  <si>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</si>
  <si>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</si>
  <si>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</si>
  <si>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</si>
  <si>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</si>
  <si>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</si>
  <si>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</si>
  <si>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</si>
  <si>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</si>
  <si>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</si>
  <si>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</si>
  <si>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</si>
  <si>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</si>
  <si>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</si>
  <si>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</si>
  <si>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</si>
  <si>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</si>
  <si>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</si>
  <si>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</si>
  <si>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</si>
  <si>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</si>
  <si>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</si>
  <si>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</si>
  <si>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</si>
  <si>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</si>
  <si>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</si>
  <si>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</si>
  <si>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</si>
  <si>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</si>
  <si>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</si>
  <si>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</si>
  <si>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</si>
  <si>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</si>
  <si>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</si>
  <si>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</si>
  <si>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</si>
  <si>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</si>
  <si>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</si>
  <si>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</si>
  <si>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</si>
  <si>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</si>
  <si>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</si>
  <si>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</si>
  <si>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</si>
  <si>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</si>
  <si>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</si>
  <si>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</si>
  <si>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</si>
  <si>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</si>
  <si>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</si>
  <si>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</si>
  <si>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</si>
  <si>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</si>
  <si>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</si>
  <si>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</si>
  <si>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</si>
  <si>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</si>
  <si>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</si>
  <si>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</si>
  <si>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</si>
  <si>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</si>
  <si>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</si>
  <si>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</si>
  <si>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</si>
  <si>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</si>
  <si>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</si>
  <si>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</si>
  <si>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</si>
  <si>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</si>
  <si>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</si>
  <si>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</si>
  <si>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</si>
  <si>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</si>
  <si>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</si>
  <si>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</si>
  <si>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</si>
  <si>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</si>
  <si>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</si>
  <si>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</si>
  <si>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</si>
  <si>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</si>
  <si>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</si>
  <si>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</si>
  <si>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</si>
  <si>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</si>
  <si>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</si>
  <si>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</si>
  <si>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</si>
  <si>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</si>
  <si>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</si>
  <si>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</si>
  <si>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</si>
  <si>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</si>
  <si>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</si>
  <si>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</si>
  <si>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</si>
  <si>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</si>
  <si>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</si>
  <si>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</si>
  <si>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</si>
  <si>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</si>
  <si>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</si>
  <si>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</si>
  <si>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</si>
  <si>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</si>
  <si>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</si>
  <si>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</si>
  <si>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</si>
  <si>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</si>
  <si>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</si>
  <si>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</si>
  <si>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</si>
  <si>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</si>
  <si>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</si>
  <si>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</si>
  <si>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</si>
  <si>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</si>
  <si>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</si>
  <si>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</si>
  <si>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</si>
  <si>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</si>
  <si>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</si>
  <si>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DONACIJE</t>
  </si>
  <si>
    <t>Izvor: PRIHODI OD PRODAJE NEFINANCIJSKE IMOVINE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</si>
  <si>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</si>
  <si>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</si>
  <si>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</si>
  <si>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</si>
  <si>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</si>
  <si>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</si>
  <si>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</si>
  <si>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</si>
  <si>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</si>
  <si>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</si>
  <si>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</si>
  <si>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</si>
  <si>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</si>
  <si>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</si>
  <si>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</si>
  <si>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</si>
  <si>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</si>
  <si>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</si>
  <si>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</si>
  <si>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</si>
  <si>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</si>
  <si>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</si>
  <si>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</si>
  <si>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</si>
  <si>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</si>
  <si>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</si>
  <si>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</si>
  <si>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IZVRŠENJE 2023.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</si>
  <si>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</si>
  <si>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</si>
  <si>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</si>
  <si>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</si>
  <si>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</si>
  <si>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</si>
  <si>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</si>
  <si>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</si>
  <si>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</si>
  <si>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</si>
  <si>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</si>
  <si>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</si>
  <si>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</si>
  <si>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09 OBRAZOVANJE</t>
  </si>
  <si>
    <t>091 Predškolsko i osnovno obrazovanje</t>
  </si>
  <si>
    <t>096 Dodatne usluge u obrazovanju</t>
  </si>
  <si>
    <t>TEKUĆI PLAN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</si>
  <si>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</si>
  <si>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</si>
  <si>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</si>
  <si>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</si>
  <si>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</si>
  <si>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</si>
  <si>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</si>
  <si>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</si>
  <si>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</si>
  <si>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</si>
  <si>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</si>
  <si>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</si>
  <si>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IZVRŠENJE 2024.</t>
  </si>
  <si>
    <t>TEKUĆI PLAN 2024.</t>
  </si>
  <si>
    <t>OSNOVNA ŠKOLA "MATIJA GUBEC" CERNIK</t>
  </si>
  <si>
    <t>ŠKOLSKA 20, 35404 CERNIK</t>
  </si>
  <si>
    <t>OIB: 35438941018</t>
  </si>
  <si>
    <t>PLANIRANO 2024.</t>
  </si>
  <si>
    <t xml:space="preserve">IZVRŠENJE 
2023. </t>
  </si>
  <si>
    <t>TEKUĆI PLAN 2024.*</t>
  </si>
  <si>
    <t xml:space="preserve">IZVRŠENJE 
2024. </t>
  </si>
  <si>
    <t>Proračunski korisnik 9265 OŠ MATIJA GUBEC CERNIK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</si>
  <si>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</si>
  <si>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</si>
  <si>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</si>
  <si>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</si>
  <si>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</si>
  <si>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</si>
  <si>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</si>
  <si>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</si>
  <si>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</si>
  <si>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</si>
  <si>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</si>
  <si>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</si>
  <si>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OSNOVNA ŠKOLA MATIJA GUBEC CERNIK</t>
  </si>
  <si>
    <t>Aktivnost A600038 S osmjehom u školu 7</t>
  </si>
  <si>
    <t>5(4/3*100)</t>
  </si>
  <si>
    <t>IZVORNI PLAN 2024.</t>
  </si>
  <si>
    <t>Izvor:  OPĆI PRIHODI I PRIMICI</t>
  </si>
  <si>
    <t>IZVRŠENJE 1-12.2023.</t>
  </si>
  <si>
    <t>IZVRŠENJE 1-12 2024.</t>
  </si>
  <si>
    <t>IZVRŠENJE 1.-12.2023.</t>
  </si>
  <si>
    <t>IZVRŠENJE 1.-12.2024.</t>
  </si>
  <si>
    <t>ZA RAZDOBLJE 1.1.- 31.12.2024.</t>
  </si>
  <si>
    <t>IZVORNI PLAN  2024.</t>
  </si>
  <si>
    <t>IZVRŠENJE1.-12. 2023.</t>
  </si>
  <si>
    <t>IZVRŠENJE 1.-12. 2024.</t>
  </si>
  <si>
    <t>7(5/4*100)</t>
  </si>
  <si>
    <t>INDEKS 4/3</t>
  </si>
  <si>
    <t>IZVORNI PLAN 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</si>
</sst>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_ ;\-#,##0.00\ "/>
    <numFmt numFmtId="166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5" fontId="10" fillId="0" borderId="0" xfId="0" applyNumberFormat="1" applyFont="1" applyBorder="1" applyAlignment="1">
      <alignment horizontal="left" vertical="center" readingOrder="1"/>
    </xf>
    <xf numFmtId="165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 readingOrder="1"/>
    </xf>
    <xf numFmtId="165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5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5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0" fillId="0" borderId="0" xfId="0" applyNumberFormat="1" applyFont="1" applyAlignment="1"/>
    <xf numFmtId="4" fontId="11" fillId="12" borderId="16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selection activeCell="G12" sqref="G12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6" width="15.85546875" style="23" customWidth="1"/>
    <col min="7" max="7" width="18" style="23" customWidth="1"/>
    <col min="8" max="8" width="15.5703125" style="228" customWidth="1"/>
    <col min="9" max="9" width="17.85546875" style="23" customWidth="1"/>
    <col min="10" max="10" width="15.5703125" style="23" customWidth="1"/>
    <col min="11" max="11" width="26.140625" style="159" customWidth="1"/>
    <col min="12" max="12" width="8.85546875" style="24"/>
    <col min="13" max="13" width="22.28515625" style="24" bestFit="1" customWidth="1"/>
    <col min="14" max="16384" width="8.85546875" style="24"/>
  </cols>
  <sheetData>
    <row r="1" spans="1:13" x14ac:dyDescent="0.2">
      <c r="A1" s="22" t="s">
        <v>91</v>
      </c>
      <c r="B1" s="22"/>
      <c r="C1" s="22"/>
      <c r="D1" s="22"/>
      <c r="E1" s="22"/>
      <c r="F1" s="22"/>
      <c r="G1" s="22"/>
      <c r="H1" s="22"/>
      <c r="J1" s="22"/>
      <c r="K1" s="22"/>
    </row>
    <row r="2" spans="1:13" x14ac:dyDescent="0.2">
      <c r="A2" s="265" t="s">
        <v>257</v>
      </c>
      <c r="B2" s="266"/>
      <c r="C2" s="266"/>
      <c r="D2" s="266"/>
      <c r="E2" s="266"/>
      <c r="F2" s="266"/>
      <c r="G2" s="266"/>
      <c r="H2" s="227"/>
      <c r="J2" s="24"/>
      <c r="K2" s="160"/>
    </row>
    <row r="3" spans="1:13" ht="13.15" customHeight="1" x14ac:dyDescent="0.2">
      <c r="A3" s="267" t="s">
        <v>238</v>
      </c>
      <c r="B3" s="267"/>
      <c r="C3" s="267"/>
      <c r="D3" s="267"/>
      <c r="E3" s="267"/>
      <c r="F3" s="24"/>
      <c r="G3" s="24"/>
      <c r="H3" s="227"/>
      <c r="J3" s="24"/>
      <c r="K3" s="160"/>
    </row>
    <row r="4" spans="1:13" x14ac:dyDescent="0.2">
      <c r="A4" s="265" t="s">
        <v>239</v>
      </c>
      <c r="B4" s="266"/>
      <c r="C4" s="266"/>
      <c r="D4" s="266"/>
      <c r="E4" s="266"/>
      <c r="F4" s="266"/>
      <c r="G4" s="266"/>
      <c r="H4" s="227"/>
      <c r="J4" s="24"/>
      <c r="K4" s="160"/>
    </row>
    <row r="6" spans="1:13" s="23" customFormat="1" ht="21.6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3" s="23" customFormat="1" ht="21.6" customHeight="1" x14ac:dyDescent="0.2">
      <c r="A7" s="257" t="s">
        <v>266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13" s="23" customFormat="1" ht="21.6" customHeight="1" x14ac:dyDescent="0.2">
      <c r="A8" s="257" t="s">
        <v>92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</row>
    <row r="9" spans="1:13" s="23" customFormat="1" ht="23.25" customHeight="1" x14ac:dyDescent="0.2">
      <c r="A9" s="257" t="s">
        <v>224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3" s="242" customFormat="1" ht="9" customHeight="1" x14ac:dyDescent="0.2">
      <c r="A10" s="25"/>
      <c r="B10" s="26"/>
      <c r="C10" s="26"/>
      <c r="D10" s="26"/>
      <c r="E10" s="26"/>
    </row>
    <row r="11" spans="1:13" s="23" customFormat="1" ht="27.75" customHeight="1" x14ac:dyDescent="0.2">
      <c r="A11" s="262" t="s">
        <v>181</v>
      </c>
      <c r="B11" s="263"/>
      <c r="C11" s="263"/>
      <c r="D11" s="263"/>
      <c r="E11" s="264"/>
      <c r="F11" s="191" t="s">
        <v>205</v>
      </c>
      <c r="G11" s="191" t="s">
        <v>260</v>
      </c>
      <c r="H11" s="191" t="s">
        <v>236</v>
      </c>
      <c r="I11" s="191" t="s">
        <v>235</v>
      </c>
      <c r="J11" s="191" t="s">
        <v>234</v>
      </c>
      <c r="K11" s="191" t="s">
        <v>271</v>
      </c>
    </row>
    <row r="12" spans="1:13" s="183" customFormat="1" ht="19.899999999999999" customHeight="1" x14ac:dyDescent="0.2">
      <c r="A12" s="276" t="s">
        <v>182</v>
      </c>
      <c r="B12" s="277"/>
      <c r="C12" s="277"/>
      <c r="D12" s="277"/>
      <c r="E12" s="278"/>
      <c r="F12" s="186">
        <v>1</v>
      </c>
      <c r="G12" s="187">
        <v>2</v>
      </c>
      <c r="H12" s="187">
        <v>3</v>
      </c>
      <c r="I12" s="187">
        <v>4</v>
      </c>
      <c r="J12" s="186">
        <v>5</v>
      </c>
      <c r="K12" s="186">
        <v>6</v>
      </c>
    </row>
    <row r="13" spans="1:13" s="181" customFormat="1" ht="17.25" customHeight="1" x14ac:dyDescent="0.2">
      <c r="A13" s="273" t="s">
        <v>93</v>
      </c>
      <c r="B13" s="261"/>
      <c r="C13" s="261"/>
      <c r="D13" s="261"/>
      <c r="E13" s="274"/>
      <c r="F13" s="27">
        <f>F14+F15</f>
        <v>1078143.78</v>
      </c>
      <c r="G13" s="27">
        <f>G14+G15</f>
        <v>1140934.21</v>
      </c>
      <c r="H13" s="27">
        <f>+H14+H15</f>
        <v>1317109.1499999999</v>
      </c>
      <c r="I13" s="27">
        <f>I14+I15</f>
        <v>1315130.3700000001</v>
      </c>
      <c r="J13" s="27">
        <f>ROUND(I13/F13*100,2)</f>
        <v>121.98</v>
      </c>
      <c r="K13" s="27">
        <f>ROUND(I13/H13*100,2)</f>
        <v>99.85</v>
      </c>
      <c r="M13" s="251"/>
    </row>
    <row r="14" spans="1:13" s="181" customFormat="1" ht="19.899999999999999" customHeight="1" x14ac:dyDescent="0.2">
      <c r="A14" s="272" t="s">
        <v>225</v>
      </c>
      <c r="B14" s="261"/>
      <c r="C14" s="261"/>
      <c r="D14" s="261"/>
      <c r="E14" s="274"/>
      <c r="F14" s="188">
        <f>'opći po ekonomskoj'!C13</f>
        <v>1078143.78</v>
      </c>
      <c r="G14" s="188">
        <f>'opći po ekonomskoj'!D13</f>
        <v>1140934.21</v>
      </c>
      <c r="H14" s="189">
        <f>+'opći po ekonomskoj'!E13</f>
        <v>1317109.1499999999</v>
      </c>
      <c r="I14" s="188">
        <f>'opći po ekonomskoj'!F13</f>
        <v>1315130.3700000001</v>
      </c>
      <c r="J14" s="188">
        <f t="shared" ref="J14:J18" si="0">ROUND(I14/F14*100,2)</f>
        <v>121.98</v>
      </c>
      <c r="K14" s="188">
        <f>ROUND(I14/H14*100,2)</f>
        <v>99.85</v>
      </c>
    </row>
    <row r="15" spans="1:13" s="181" customFormat="1" ht="19.899999999999999" customHeight="1" x14ac:dyDescent="0.2">
      <c r="A15" s="275" t="s">
        <v>226</v>
      </c>
      <c r="B15" s="274"/>
      <c r="C15" s="274"/>
      <c r="D15" s="274"/>
      <c r="E15" s="274"/>
      <c r="F15" s="188">
        <f>'opći po ekonomskoj'!C26</f>
        <v>0</v>
      </c>
      <c r="G15" s="188">
        <f>'opći po ekonomskoj'!D26</f>
        <v>0</v>
      </c>
      <c r="H15" s="189">
        <f t="shared" ref="H15" si="1">SUM(G15)</f>
        <v>0</v>
      </c>
      <c r="I15" s="188">
        <f>'opći po ekonomskoj'!F26</f>
        <v>0</v>
      </c>
      <c r="J15" s="188" t="e">
        <f t="shared" si="0"/>
        <v>#DIV/0!</v>
      </c>
      <c r="K15" s="188" t="e">
        <f>ROUND(I15/H15*100,2)</f>
        <v>#DIV/0!</v>
      </c>
    </row>
    <row r="16" spans="1:13" s="181" customFormat="1" ht="19.899999999999999" customHeight="1" x14ac:dyDescent="0.2">
      <c r="A16" s="185" t="s">
        <v>95</v>
      </c>
      <c r="B16" s="182"/>
      <c r="C16" s="182"/>
      <c r="D16" s="182"/>
      <c r="E16" s="182"/>
      <c r="F16" s="184">
        <f>F17+F18</f>
        <v>1088467.4099999999</v>
      </c>
      <c r="G16" s="184">
        <f>G17+G18</f>
        <v>1149934.2100000002</v>
      </c>
      <c r="H16" s="27">
        <f>+H17+H18</f>
        <v>1326287.1400000001</v>
      </c>
      <c r="I16" s="184">
        <f>I17+I18</f>
        <v>1312749.79</v>
      </c>
      <c r="J16" s="184">
        <f t="shared" si="0"/>
        <v>120.61</v>
      </c>
      <c r="K16" s="27">
        <f>ROUND(I16/H16*100,2)</f>
        <v>98.98</v>
      </c>
    </row>
    <row r="17" spans="1:13" s="181" customFormat="1" ht="19.899999999999999" customHeight="1" x14ac:dyDescent="0.2">
      <c r="A17" s="272" t="s">
        <v>227</v>
      </c>
      <c r="B17" s="261"/>
      <c r="C17" s="261"/>
      <c r="D17" s="261"/>
      <c r="E17" s="261"/>
      <c r="F17" s="189">
        <f>'opći po ekonomskoj'!C33</f>
        <v>1081440.43</v>
      </c>
      <c r="G17" s="189">
        <f>'opći po ekonomskoj'!D33</f>
        <v>1144234.2100000002</v>
      </c>
      <c r="H17" s="189">
        <f>+'opći po ekonomskoj'!E33</f>
        <v>1323277.1400000001</v>
      </c>
      <c r="I17" s="189">
        <f>'opći po ekonomskoj'!F33</f>
        <v>1309184.8</v>
      </c>
      <c r="J17" s="189">
        <f t="shared" si="0"/>
        <v>121.06</v>
      </c>
      <c r="K17" s="188">
        <f t="shared" ref="K17:K18" si="2">ROUND(I17/H17*100,2)</f>
        <v>98.94</v>
      </c>
    </row>
    <row r="18" spans="1:13" s="181" customFormat="1" ht="19.899999999999999" customHeight="1" x14ac:dyDescent="0.2">
      <c r="A18" s="275" t="s">
        <v>228</v>
      </c>
      <c r="B18" s="274"/>
      <c r="C18" s="274"/>
      <c r="D18" s="274"/>
      <c r="E18" s="274"/>
      <c r="F18" s="189">
        <f>'opći po ekonomskoj'!C50</f>
        <v>7026.98</v>
      </c>
      <c r="G18" s="189">
        <f>'opći po ekonomskoj'!D50</f>
        <v>5700</v>
      </c>
      <c r="H18" s="189">
        <f>+'opći po ekonomskoj'!E50</f>
        <v>3010</v>
      </c>
      <c r="I18" s="189">
        <f>'opći po ekonomskoj'!F50</f>
        <v>3564.99</v>
      </c>
      <c r="J18" s="189">
        <f t="shared" si="0"/>
        <v>50.73</v>
      </c>
      <c r="K18" s="188">
        <f t="shared" si="2"/>
        <v>118.44</v>
      </c>
    </row>
    <row r="19" spans="1:13" s="181" customFormat="1" ht="19.899999999999999" customHeight="1" x14ac:dyDescent="0.2">
      <c r="A19" s="260" t="s">
        <v>97</v>
      </c>
      <c r="B19" s="261"/>
      <c r="C19" s="261"/>
      <c r="D19" s="261"/>
      <c r="E19" s="261"/>
      <c r="F19" s="27">
        <f>+F13-F16</f>
        <v>-10323.629999999888</v>
      </c>
      <c r="G19" s="27">
        <f>+G13-G16</f>
        <v>-9000.0000000002328</v>
      </c>
      <c r="H19" s="27">
        <f>+H13-H16</f>
        <v>-9177.9900000002235</v>
      </c>
      <c r="I19" s="27">
        <f>+I13-I16</f>
        <v>2380.5800000000745</v>
      </c>
      <c r="J19" s="27"/>
      <c r="K19" s="27"/>
    </row>
    <row r="20" spans="1:13" s="181" customFormat="1" ht="19.899999999999999" customHeight="1" x14ac:dyDescent="0.2">
      <c r="A20" s="257"/>
      <c r="B20" s="258"/>
      <c r="C20" s="258"/>
      <c r="D20" s="258"/>
      <c r="E20" s="258"/>
      <c r="F20" s="259"/>
      <c r="G20" s="259"/>
      <c r="H20" s="259"/>
      <c r="I20" s="259"/>
    </row>
    <row r="21" spans="1:13" s="242" customFormat="1" ht="19.899999999999999" customHeight="1" x14ac:dyDescent="0.2">
      <c r="A21" s="257"/>
      <c r="B21" s="258"/>
      <c r="C21" s="258"/>
      <c r="D21" s="258"/>
      <c r="E21" s="258"/>
      <c r="F21" s="259"/>
      <c r="G21" s="259"/>
      <c r="H21" s="259"/>
      <c r="I21" s="259"/>
    </row>
    <row r="22" spans="1:13" s="181" customFormat="1" ht="27.75" customHeight="1" x14ac:dyDescent="0.2">
      <c r="A22" s="276" t="s">
        <v>183</v>
      </c>
      <c r="B22" s="277"/>
      <c r="C22" s="277"/>
      <c r="D22" s="277"/>
      <c r="E22" s="278"/>
      <c r="F22" s="187">
        <v>1</v>
      </c>
      <c r="G22" s="187">
        <v>2</v>
      </c>
      <c r="H22" s="187">
        <v>3</v>
      </c>
      <c r="I22" s="187">
        <v>4</v>
      </c>
      <c r="J22" s="187">
        <v>5</v>
      </c>
      <c r="K22" s="187">
        <v>6</v>
      </c>
    </row>
    <row r="23" spans="1:13" s="181" customFormat="1" ht="19.899999999999999" customHeight="1" x14ac:dyDescent="0.2">
      <c r="A23" s="272" t="s">
        <v>229</v>
      </c>
      <c r="B23" s="261"/>
      <c r="C23" s="261"/>
      <c r="D23" s="261"/>
      <c r="E23" s="261"/>
      <c r="F23" s="190">
        <v>0</v>
      </c>
      <c r="G23" s="190">
        <v>0</v>
      </c>
      <c r="H23" s="190">
        <f>SUM(G23)</f>
        <v>0</v>
      </c>
      <c r="I23" s="190">
        <v>0</v>
      </c>
      <c r="J23" s="188"/>
      <c r="K23" s="249"/>
      <c r="L23" s="250">
        <f>M20</f>
        <v>0</v>
      </c>
    </row>
    <row r="24" spans="1:13" s="181" customFormat="1" ht="19.899999999999999" customHeight="1" x14ac:dyDescent="0.2">
      <c r="A24" s="272" t="s">
        <v>230</v>
      </c>
      <c r="B24" s="261"/>
      <c r="C24" s="261"/>
      <c r="D24" s="261"/>
      <c r="E24" s="261"/>
      <c r="F24" s="190">
        <v>0</v>
      </c>
      <c r="G24" s="190">
        <v>0</v>
      </c>
      <c r="H24" s="190">
        <f t="shared" ref="H24:H25" si="3">SUM(G24)</f>
        <v>0</v>
      </c>
      <c r="I24" s="190">
        <v>0</v>
      </c>
      <c r="J24" s="188"/>
      <c r="K24" s="188"/>
    </row>
    <row r="25" spans="1:13" s="181" customFormat="1" ht="19.899999999999999" customHeight="1" x14ac:dyDescent="0.2">
      <c r="A25" s="268" t="s">
        <v>231</v>
      </c>
      <c r="B25" s="269"/>
      <c r="C25" s="269"/>
      <c r="D25" s="269"/>
      <c r="E25" s="270"/>
      <c r="F25" s="247">
        <f>F23-F24</f>
        <v>0</v>
      </c>
      <c r="G25" s="247">
        <f>G23-G24</f>
        <v>0</v>
      </c>
      <c r="H25" s="247">
        <f t="shared" si="3"/>
        <v>0</v>
      </c>
      <c r="I25" s="247">
        <f>I23-I24</f>
        <v>0</v>
      </c>
      <c r="J25" s="248"/>
      <c r="K25" s="248"/>
    </row>
    <row r="26" spans="1:13" s="181" customFormat="1" ht="19.899999999999999" customHeight="1" x14ac:dyDescent="0.2">
      <c r="A26" s="268" t="s">
        <v>232</v>
      </c>
      <c r="B26" s="271"/>
      <c r="C26" s="271"/>
      <c r="D26" s="271"/>
      <c r="E26" s="271"/>
      <c r="F26" s="247">
        <v>2321.0100000000002</v>
      </c>
      <c r="G26" s="247">
        <v>9000</v>
      </c>
      <c r="H26" s="247">
        <v>9177.99</v>
      </c>
      <c r="I26" s="247">
        <v>-11832.96</v>
      </c>
      <c r="J26" s="248"/>
      <c r="K26" s="248"/>
    </row>
    <row r="27" spans="1:13" s="181" customFormat="1" ht="19.899999999999999" customHeight="1" x14ac:dyDescent="0.2">
      <c r="A27" s="268" t="s">
        <v>233</v>
      </c>
      <c r="B27" s="271"/>
      <c r="C27" s="271"/>
      <c r="D27" s="271"/>
      <c r="E27" s="271"/>
      <c r="F27" s="247">
        <f>SUM(F19,F26)</f>
        <v>-8002.619999999888</v>
      </c>
      <c r="G27" s="247">
        <f t="shared" ref="G27:H27" si="4">SUM(G19,G26)</f>
        <v>-2.3283064365386963E-10</v>
      </c>
      <c r="H27" s="247">
        <f t="shared" si="4"/>
        <v>-2.2373569663614035E-10</v>
      </c>
      <c r="I27" s="247">
        <f>+I26+I19</f>
        <v>-9452.3799999999246</v>
      </c>
      <c r="J27" s="248"/>
      <c r="K27" s="248"/>
      <c r="M27" s="251"/>
    </row>
    <row r="28" spans="1:13" x14ac:dyDescent="0.2">
      <c r="A28" s="28"/>
      <c r="B28" s="26"/>
      <c r="C28" s="26"/>
      <c r="D28" s="26"/>
      <c r="E28" s="26"/>
    </row>
    <row r="29" spans="1:13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3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3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opLeftCell="A50" zoomScale="110" zoomScaleNormal="110" workbookViewId="0">
      <selection activeCell="E40" sqref="E40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6" width="15" style="129" customWidth="1"/>
    <col min="7" max="7" width="15" style="209" customWidth="1"/>
    <col min="8" max="8" width="15" style="193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91</v>
      </c>
      <c r="B1" s="22"/>
      <c r="C1" s="22"/>
      <c r="D1" s="22"/>
      <c r="E1" s="22"/>
      <c r="F1" s="22"/>
      <c r="G1" s="192"/>
    </row>
    <row r="2" spans="1:8" ht="12.75" x14ac:dyDescent="0.2">
      <c r="A2" s="265" t="s">
        <v>237</v>
      </c>
      <c r="B2" s="266"/>
      <c r="C2" s="266"/>
      <c r="D2" s="266"/>
      <c r="E2" s="266"/>
      <c r="F2" s="266"/>
      <c r="G2" s="266"/>
      <c r="H2" s="266"/>
    </row>
    <row r="3" spans="1:8" ht="12.75" customHeight="1" x14ac:dyDescent="0.2">
      <c r="A3" s="267" t="s">
        <v>238</v>
      </c>
      <c r="B3" s="267"/>
      <c r="C3" s="267"/>
      <c r="D3" s="267"/>
      <c r="E3" s="267"/>
      <c r="F3" s="267"/>
      <c r="G3" s="224"/>
      <c r="H3" s="224"/>
    </row>
    <row r="4" spans="1:8" ht="12.75" customHeight="1" x14ac:dyDescent="0.2">
      <c r="A4" s="265" t="s">
        <v>239</v>
      </c>
      <c r="B4" s="266"/>
      <c r="C4" s="266"/>
      <c r="D4" s="266"/>
      <c r="E4" s="266"/>
      <c r="F4" s="266"/>
      <c r="G4" s="266"/>
      <c r="H4" s="266"/>
    </row>
    <row r="5" spans="1:8" ht="12.75" x14ac:dyDescent="0.2">
      <c r="A5" s="178"/>
      <c r="B5" s="179"/>
      <c r="C5" s="179"/>
      <c r="D5" s="179"/>
      <c r="E5" s="227"/>
      <c r="F5" s="179"/>
      <c r="G5" s="179"/>
    </row>
    <row r="6" spans="1:8" ht="12.75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</row>
    <row r="7" spans="1:8" ht="12.75" customHeight="1" x14ac:dyDescent="0.2">
      <c r="A7" s="257" t="str">
        <f>'OPĆI DIO'!A7:J7</f>
        <v>ZA RAZDOBLJE 1.1.- 31.12.2024.</v>
      </c>
      <c r="B7" s="257"/>
      <c r="C7" s="257"/>
      <c r="D7" s="257"/>
      <c r="E7" s="257"/>
      <c r="F7" s="257"/>
      <c r="G7" s="257"/>
      <c r="H7" s="257"/>
    </row>
    <row r="9" spans="1:8" s="100" customFormat="1" x14ac:dyDescent="0.2">
      <c r="A9" s="281" t="s">
        <v>155</v>
      </c>
      <c r="B9" s="281"/>
      <c r="C9" s="281"/>
      <c r="D9" s="281"/>
      <c r="E9" s="281"/>
      <c r="F9" s="281"/>
      <c r="G9" s="281"/>
      <c r="H9" s="281"/>
    </row>
    <row r="10" spans="1:8" s="77" customFormat="1" x14ac:dyDescent="0.2">
      <c r="C10" s="128"/>
      <c r="D10" s="128"/>
      <c r="E10" s="128"/>
      <c r="F10" s="128"/>
      <c r="G10" s="194"/>
      <c r="H10" s="195"/>
    </row>
    <row r="11" spans="1:8" s="77" customFormat="1" ht="57.6" customHeight="1" x14ac:dyDescent="0.2">
      <c r="A11" s="78" t="s">
        <v>184</v>
      </c>
      <c r="B11" s="78" t="s">
        <v>154</v>
      </c>
      <c r="C11" s="61" t="s">
        <v>264</v>
      </c>
      <c r="D11" s="61" t="s">
        <v>260</v>
      </c>
      <c r="E11" s="61" t="s">
        <v>236</v>
      </c>
      <c r="F11" s="61" t="s">
        <v>265</v>
      </c>
      <c r="G11" s="196" t="s">
        <v>99</v>
      </c>
      <c r="H11" s="196" t="s">
        <v>99</v>
      </c>
    </row>
    <row r="12" spans="1:8" s="131" customFormat="1" ht="11.25" customHeight="1" x14ac:dyDescent="0.15">
      <c r="A12" s="279">
        <v>1</v>
      </c>
      <c r="B12" s="280"/>
      <c r="C12" s="132">
        <v>2</v>
      </c>
      <c r="D12" s="132">
        <v>3</v>
      </c>
      <c r="E12" s="132">
        <v>4</v>
      </c>
      <c r="F12" s="132">
        <v>5</v>
      </c>
      <c r="G12" s="197" t="s">
        <v>212</v>
      </c>
      <c r="H12" s="197" t="s">
        <v>270</v>
      </c>
    </row>
    <row r="13" spans="1:8" s="130" customFormat="1" ht="21.75" customHeight="1" x14ac:dyDescent="0.2">
      <c r="A13" s="133">
        <v>6</v>
      </c>
      <c r="B13" s="134" t="s">
        <v>116</v>
      </c>
      <c r="C13" s="135">
        <f>C14+C19+C21+C24</f>
        <v>1078143.78</v>
      </c>
      <c r="D13" s="135">
        <f>D14+D19+D21+D24</f>
        <v>1140934.21</v>
      </c>
      <c r="E13" s="135">
        <f>+E14+E19+E21+E24</f>
        <v>1317109.1499999999</v>
      </c>
      <c r="F13" s="135">
        <f>F14+F19+F21+F24</f>
        <v>1315130.3700000001</v>
      </c>
      <c r="G13" s="198">
        <f t="shared" ref="G13:G29" si="0">ROUND(F13/C13*100,2)</f>
        <v>121.98</v>
      </c>
      <c r="H13" s="198">
        <f>ROUND(F13/E13*100,2)</f>
        <v>99.85</v>
      </c>
    </row>
    <row r="14" spans="1:8" s="80" customFormat="1" ht="21.75" customHeight="1" x14ac:dyDescent="0.2">
      <c r="A14" s="79">
        <v>63</v>
      </c>
      <c r="B14" s="213" t="s">
        <v>117</v>
      </c>
      <c r="C14" s="214">
        <f>SUM(C15:C18)</f>
        <v>1009687.15</v>
      </c>
      <c r="D14" s="214">
        <f>SUM(D15:D18)</f>
        <v>1069605</v>
      </c>
      <c r="E14" s="214">
        <f>+E15+E16+E17+E18</f>
        <v>1237879.0900000001</v>
      </c>
      <c r="F14" s="214">
        <f>SUM(F15:F18)</f>
        <v>1236217.69</v>
      </c>
      <c r="G14" s="215">
        <f t="shared" si="0"/>
        <v>122.44</v>
      </c>
      <c r="H14" s="215">
        <f>ROUND(F14/E14*100,2)</f>
        <v>99.87</v>
      </c>
    </row>
    <row r="15" spans="1:8" s="83" customFormat="1" ht="21.75" customHeight="1" x14ac:dyDescent="0.2">
      <c r="A15" s="81">
        <v>634</v>
      </c>
      <c r="B15" s="82" t="s">
        <v>186</v>
      </c>
      <c r="C15" s="136">
        <v>270.51</v>
      </c>
      <c r="D15" s="136">
        <f>'prihodi programska'!D29</f>
        <v>0</v>
      </c>
      <c r="E15" s="136">
        <f t="shared" ref="E15:E28" si="1">SUM(D15)</f>
        <v>0</v>
      </c>
      <c r="F15" s="136">
        <f>'prihodi programska'!F29</f>
        <v>0</v>
      </c>
      <c r="G15" s="199">
        <f t="shared" si="0"/>
        <v>0</v>
      </c>
      <c r="H15" s="199" t="e">
        <f>ROUND(F15/E15*100,2)</f>
        <v>#DIV/0!</v>
      </c>
    </row>
    <row r="16" spans="1:8" s="83" customFormat="1" ht="21.75" customHeight="1" x14ac:dyDescent="0.2">
      <c r="A16" s="81">
        <v>636</v>
      </c>
      <c r="B16" s="82" t="s">
        <v>118</v>
      </c>
      <c r="C16" s="245">
        <v>993627.85</v>
      </c>
      <c r="D16" s="136">
        <f>'prihodi programska'!D31</f>
        <v>1054750</v>
      </c>
      <c r="E16" s="136">
        <f>+'prihodi programska'!E31</f>
        <v>1220850</v>
      </c>
      <c r="F16" s="136">
        <f>'prihodi programska'!F31</f>
        <v>1220437.21</v>
      </c>
      <c r="G16" s="199">
        <f t="shared" si="0"/>
        <v>122.83</v>
      </c>
      <c r="H16" s="199">
        <f t="shared" ref="H16:H18" si="2">ROUND(F16/E16*100,2)</f>
        <v>99.97</v>
      </c>
    </row>
    <row r="17" spans="1:9" s="83" customFormat="1" ht="21.75" customHeight="1" x14ac:dyDescent="0.2">
      <c r="A17" s="81">
        <v>638</v>
      </c>
      <c r="B17" s="82" t="s">
        <v>160</v>
      </c>
      <c r="C17" s="136">
        <v>0</v>
      </c>
      <c r="D17" s="136">
        <f>'prihodi programska'!D35</f>
        <v>0</v>
      </c>
      <c r="E17" s="136">
        <f t="shared" si="1"/>
        <v>0</v>
      </c>
      <c r="F17" s="136">
        <f>'prihodi programska'!F35</f>
        <v>0</v>
      </c>
      <c r="G17" s="199" t="e">
        <f t="shared" si="0"/>
        <v>#DIV/0!</v>
      </c>
      <c r="H17" s="199" t="e">
        <f t="shared" si="2"/>
        <v>#DIV/0!</v>
      </c>
    </row>
    <row r="18" spans="1:9" s="83" customFormat="1" ht="21.75" customHeight="1" x14ac:dyDescent="0.2">
      <c r="A18" s="81">
        <v>639</v>
      </c>
      <c r="B18" s="82" t="s">
        <v>119</v>
      </c>
      <c r="C18" s="245">
        <f>3387.34+8361.93+4039.52</f>
        <v>15788.79</v>
      </c>
      <c r="D18" s="136">
        <f>'prihodi programska'!D37+'prihodi programska'!D50</f>
        <v>14855</v>
      </c>
      <c r="E18" s="136">
        <f>+'prihodi programska'!E50</f>
        <v>17029.09</v>
      </c>
      <c r="F18" s="136">
        <f>'prihodi programska'!F37+'prihodi programska'!F50</f>
        <v>15780.48</v>
      </c>
      <c r="G18" s="199">
        <f t="shared" si="0"/>
        <v>99.95</v>
      </c>
      <c r="H18" s="199">
        <f t="shared" si="2"/>
        <v>92.67</v>
      </c>
    </row>
    <row r="19" spans="1:9" s="86" customFormat="1" ht="21.75" customHeight="1" x14ac:dyDescent="0.2">
      <c r="A19" s="84">
        <v>65</v>
      </c>
      <c r="B19" s="85" t="s">
        <v>120</v>
      </c>
      <c r="C19" s="137">
        <f>C20</f>
        <v>1012.18</v>
      </c>
      <c r="D19" s="137">
        <f>D20</f>
        <v>1000</v>
      </c>
      <c r="E19" s="137">
        <f>+E20</f>
        <v>906.2</v>
      </c>
      <c r="F19" s="137">
        <f>F20</f>
        <v>906.2</v>
      </c>
      <c r="G19" s="200">
        <f t="shared" si="0"/>
        <v>89.53</v>
      </c>
      <c r="H19" s="215">
        <f>ROUND(F19/E19*100,2)</f>
        <v>100</v>
      </c>
    </row>
    <row r="20" spans="1:9" s="83" customFormat="1" ht="21.75" customHeight="1" x14ac:dyDescent="0.2">
      <c r="A20" s="87">
        <v>652</v>
      </c>
      <c r="B20" s="88" t="s">
        <v>144</v>
      </c>
      <c r="C20" s="245">
        <v>1012.18</v>
      </c>
      <c r="D20" s="136">
        <f>'prihodi programska'!D25</f>
        <v>1000</v>
      </c>
      <c r="E20" s="136">
        <f>+'prihodi programska'!E25</f>
        <v>906.2</v>
      </c>
      <c r="F20" s="136">
        <f>'prihodi programska'!F25</f>
        <v>906.2</v>
      </c>
      <c r="G20" s="199">
        <f t="shared" si="0"/>
        <v>89.53</v>
      </c>
      <c r="H20" s="199">
        <f>ROUND(F20/E20*100,2)</f>
        <v>100</v>
      </c>
    </row>
    <row r="21" spans="1:9" s="86" customFormat="1" ht="21.75" customHeight="1" x14ac:dyDescent="0.2">
      <c r="A21" s="89">
        <v>66</v>
      </c>
      <c r="B21" s="90" t="s">
        <v>121</v>
      </c>
      <c r="C21" s="137">
        <f>SUM(C22:C23)</f>
        <v>5754.07</v>
      </c>
      <c r="D21" s="137">
        <f>SUM(D22:D23)</f>
        <v>5700</v>
      </c>
      <c r="E21" s="137">
        <f>+E22+E23</f>
        <v>8892.9500000000007</v>
      </c>
      <c r="F21" s="137">
        <f>SUM(F22:F23)</f>
        <v>8185.35</v>
      </c>
      <c r="G21" s="200">
        <f t="shared" si="0"/>
        <v>142.25</v>
      </c>
      <c r="H21" s="215">
        <f>ROUND(F21/E21*100,2)</f>
        <v>92.04</v>
      </c>
    </row>
    <row r="22" spans="1:9" s="83" customFormat="1" ht="21.75" customHeight="1" x14ac:dyDescent="0.2">
      <c r="A22" s="87">
        <v>661</v>
      </c>
      <c r="B22" s="91" t="s">
        <v>122</v>
      </c>
      <c r="C22" s="245">
        <v>5114.07</v>
      </c>
      <c r="D22" s="136">
        <f>'prihodi programska'!D20</f>
        <v>5000</v>
      </c>
      <c r="E22" s="136">
        <f>+'prihodi programska'!E20</f>
        <v>6000</v>
      </c>
      <c r="F22" s="136">
        <f>'prihodi programska'!F20</f>
        <v>4902.1900000000005</v>
      </c>
      <c r="G22" s="199">
        <f t="shared" si="0"/>
        <v>95.86</v>
      </c>
      <c r="H22" s="199">
        <f t="shared" ref="H22:H23" si="3">ROUND(F22/E22*100,2)</f>
        <v>81.7</v>
      </c>
      <c r="I22" s="169"/>
    </row>
    <row r="23" spans="1:9" s="83" customFormat="1" ht="21.75" customHeight="1" x14ac:dyDescent="0.2">
      <c r="A23" s="87">
        <v>663</v>
      </c>
      <c r="B23" s="91" t="s">
        <v>123</v>
      </c>
      <c r="C23" s="245">
        <v>640</v>
      </c>
      <c r="D23" s="136">
        <f>'prihodi programska'!D41</f>
        <v>700</v>
      </c>
      <c r="E23" s="136">
        <f>+'prihodi programska'!E41</f>
        <v>2892.95</v>
      </c>
      <c r="F23" s="136">
        <f>'prihodi programska'!F41</f>
        <v>3283.16</v>
      </c>
      <c r="G23" s="199">
        <f t="shared" si="0"/>
        <v>512.99</v>
      </c>
      <c r="H23" s="199">
        <f t="shared" si="3"/>
        <v>113.49</v>
      </c>
    </row>
    <row r="24" spans="1:9" s="94" customFormat="1" ht="21.75" customHeight="1" x14ac:dyDescent="0.2">
      <c r="A24" s="92">
        <v>67</v>
      </c>
      <c r="B24" s="93" t="s">
        <v>124</v>
      </c>
      <c r="C24" s="138">
        <f>C25</f>
        <v>61690.38</v>
      </c>
      <c r="D24" s="138">
        <f>D25</f>
        <v>64629.21</v>
      </c>
      <c r="E24" s="138">
        <f>+E25</f>
        <v>69430.91</v>
      </c>
      <c r="F24" s="138">
        <f>F25</f>
        <v>69821.13</v>
      </c>
      <c r="G24" s="201">
        <f t="shared" si="0"/>
        <v>113.18</v>
      </c>
      <c r="H24" s="215">
        <f t="shared" ref="H24:H29" si="4">ROUND(F24/E24*100,2)</f>
        <v>100.56</v>
      </c>
    </row>
    <row r="25" spans="1:9" s="97" customFormat="1" ht="21.75" customHeight="1" x14ac:dyDescent="0.2">
      <c r="A25" s="95">
        <v>671</v>
      </c>
      <c r="B25" s="96" t="s">
        <v>125</v>
      </c>
      <c r="C25" s="139">
        <f>60222.52+326.3+1081.56+60</f>
        <v>61690.38</v>
      </c>
      <c r="D25" s="139">
        <f>SUM('prihodi programska'!D15,'prihodi programska'!D53)</f>
        <v>64629.21</v>
      </c>
      <c r="E25" s="139">
        <f>+'prihodi programska'!E53+'prihodi programska'!E15</f>
        <v>69430.91</v>
      </c>
      <c r="F25" s="139">
        <f>SUM('prihodi programska'!F15,'prihodi programska'!F53)</f>
        <v>69821.13</v>
      </c>
      <c r="G25" s="202">
        <f t="shared" si="0"/>
        <v>113.18</v>
      </c>
      <c r="H25" s="199">
        <f t="shared" si="4"/>
        <v>100.56</v>
      </c>
      <c r="I25" s="176"/>
    </row>
    <row r="26" spans="1:9" s="109" customFormat="1" ht="21.75" customHeight="1" x14ac:dyDescent="0.2">
      <c r="A26" s="98">
        <v>7</v>
      </c>
      <c r="B26" s="99" t="s">
        <v>126</v>
      </c>
      <c r="C26" s="154">
        <f t="shared" ref="C26:F27" si="5">C27</f>
        <v>0</v>
      </c>
      <c r="D26" s="154">
        <f t="shared" si="5"/>
        <v>0</v>
      </c>
      <c r="E26" s="154">
        <f t="shared" si="1"/>
        <v>0</v>
      </c>
      <c r="F26" s="154">
        <f t="shared" si="5"/>
        <v>0</v>
      </c>
      <c r="G26" s="203" t="e">
        <f t="shared" si="0"/>
        <v>#DIV/0!</v>
      </c>
      <c r="H26" s="198" t="e">
        <f t="shared" si="4"/>
        <v>#DIV/0!</v>
      </c>
      <c r="I26" s="175"/>
    </row>
    <row r="27" spans="1:9" s="103" customFormat="1" ht="21.75" customHeight="1" x14ac:dyDescent="0.2">
      <c r="A27" s="101">
        <v>72</v>
      </c>
      <c r="B27" s="102" t="s">
        <v>127</v>
      </c>
      <c r="C27" s="140">
        <f t="shared" si="5"/>
        <v>0</v>
      </c>
      <c r="D27" s="140">
        <f t="shared" si="5"/>
        <v>0</v>
      </c>
      <c r="E27" s="140">
        <f t="shared" si="1"/>
        <v>0</v>
      </c>
      <c r="F27" s="140">
        <f t="shared" si="5"/>
        <v>0</v>
      </c>
      <c r="G27" s="204" t="e">
        <f t="shared" si="0"/>
        <v>#DIV/0!</v>
      </c>
      <c r="H27" s="215" t="e">
        <f t="shared" si="4"/>
        <v>#DIV/0!</v>
      </c>
    </row>
    <row r="28" spans="1:9" s="106" customFormat="1" ht="21.75" customHeight="1" x14ac:dyDescent="0.2">
      <c r="A28" s="104">
        <v>721</v>
      </c>
      <c r="B28" s="105" t="s">
        <v>128</v>
      </c>
      <c r="C28" s="141">
        <v>0</v>
      </c>
      <c r="D28" s="141">
        <f>'prihodi programska'!D46</f>
        <v>0</v>
      </c>
      <c r="E28" s="141">
        <f t="shared" si="1"/>
        <v>0</v>
      </c>
      <c r="F28" s="141">
        <f>'prihodi programska'!F46</f>
        <v>0</v>
      </c>
      <c r="G28" s="205" t="e">
        <f t="shared" si="0"/>
        <v>#DIV/0!</v>
      </c>
      <c r="H28" s="199" t="e">
        <f t="shared" si="4"/>
        <v>#DIV/0!</v>
      </c>
    </row>
    <row r="29" spans="1:9" s="109" customFormat="1" ht="21.75" customHeight="1" x14ac:dyDescent="0.2">
      <c r="A29" s="107"/>
      <c r="B29" s="108" t="s">
        <v>129</v>
      </c>
      <c r="C29" s="142">
        <f>C26+C13</f>
        <v>1078143.78</v>
      </c>
      <c r="D29" s="142">
        <f>D26+D13</f>
        <v>1140934.21</v>
      </c>
      <c r="E29" s="142">
        <f>+E13+E26</f>
        <v>1317109.1499999999</v>
      </c>
      <c r="F29" s="142">
        <f>F26+F13</f>
        <v>1315130.3700000001</v>
      </c>
      <c r="G29" s="206">
        <f t="shared" si="0"/>
        <v>121.98</v>
      </c>
      <c r="H29" s="256">
        <f t="shared" si="4"/>
        <v>99.85</v>
      </c>
    </row>
    <row r="30" spans="1:9" s="109" customFormat="1" ht="21.75" customHeight="1" x14ac:dyDescent="0.2">
      <c r="A30" s="171"/>
      <c r="C30" s="172"/>
      <c r="D30" s="172"/>
      <c r="E30" s="172"/>
      <c r="F30" s="172"/>
      <c r="G30" s="208"/>
      <c r="H30" s="208"/>
    </row>
    <row r="31" spans="1:9" ht="57" customHeight="1" x14ac:dyDescent="0.2">
      <c r="A31" s="78" t="s">
        <v>184</v>
      </c>
      <c r="B31" s="78" t="s">
        <v>154</v>
      </c>
      <c r="C31" s="61" t="s">
        <v>268</v>
      </c>
      <c r="D31" s="61" t="s">
        <v>240</v>
      </c>
      <c r="E31" s="61" t="s">
        <v>236</v>
      </c>
      <c r="F31" s="61" t="s">
        <v>269</v>
      </c>
      <c r="G31" s="196" t="s">
        <v>99</v>
      </c>
      <c r="H31" s="196" t="s">
        <v>99</v>
      </c>
    </row>
    <row r="32" spans="1:9" ht="11.25" customHeight="1" x14ac:dyDescent="0.2">
      <c r="A32" s="279">
        <v>1</v>
      </c>
      <c r="B32" s="280"/>
      <c r="C32" s="132">
        <v>2</v>
      </c>
      <c r="D32" s="132">
        <v>3</v>
      </c>
      <c r="E32" s="132">
        <v>4</v>
      </c>
      <c r="F32" s="132">
        <v>5</v>
      </c>
      <c r="G32" s="197" t="s">
        <v>212</v>
      </c>
      <c r="H32" s="197" t="s">
        <v>213</v>
      </c>
    </row>
    <row r="33" spans="1:8" s="103" customFormat="1" ht="19.899999999999999" customHeight="1" x14ac:dyDescent="0.2">
      <c r="A33" s="147">
        <v>3</v>
      </c>
      <c r="B33" s="148" t="s">
        <v>132</v>
      </c>
      <c r="C33" s="149">
        <f>C34+C38+C44+C46+C48</f>
        <v>1081440.43</v>
      </c>
      <c r="D33" s="149">
        <f t="shared" ref="D33:F33" si="6">D34+D38+D44+D46+D48</f>
        <v>1144234.2100000002</v>
      </c>
      <c r="E33" s="149">
        <f>+E34+E38+E44+E46+E48</f>
        <v>1323277.1400000001</v>
      </c>
      <c r="F33" s="149">
        <f t="shared" si="6"/>
        <v>1309184.8</v>
      </c>
      <c r="G33" s="210">
        <f t="shared" ref="G33:G49" si="7">ROUND(F33/C33*100,2)</f>
        <v>121.06</v>
      </c>
      <c r="H33" s="198">
        <f>ROUND(F33/E33*100,2)</f>
        <v>98.94</v>
      </c>
    </row>
    <row r="34" spans="1:8" s="100" customFormat="1" ht="19.899999999999999" customHeight="1" x14ac:dyDescent="0.2">
      <c r="A34" s="101">
        <v>31</v>
      </c>
      <c r="B34" s="102" t="s">
        <v>133</v>
      </c>
      <c r="C34" s="150">
        <f>SUM(C35:C37)</f>
        <v>940629.8</v>
      </c>
      <c r="D34" s="150">
        <f>SUM(D35:D37)</f>
        <v>976330.89</v>
      </c>
      <c r="E34" s="150">
        <f>+E35+E36+E37</f>
        <v>1156440.9100000001</v>
      </c>
      <c r="F34" s="150">
        <f>SUM(F35:F37)</f>
        <v>1153924.78</v>
      </c>
      <c r="G34" s="211">
        <f t="shared" si="7"/>
        <v>122.68</v>
      </c>
      <c r="H34" s="215">
        <f>ROUND(F34/E34*100,2)</f>
        <v>99.78</v>
      </c>
    </row>
    <row r="35" spans="1:8" ht="19.899999999999999" customHeight="1" x14ac:dyDescent="0.2">
      <c r="A35" s="104">
        <v>311</v>
      </c>
      <c r="B35" s="151" t="s">
        <v>134</v>
      </c>
      <c r="C35" s="152">
        <v>767101.52</v>
      </c>
      <c r="D35" s="246">
        <f>SUM('rashodi-programska'!C19,'rashodi-programska'!C76,'rashodi-programska'!C134,'rashodi-programska'!C211,'rashodi-programska'!C222,'rashodi-programska'!C242,'rashodi-programska'!C248)</f>
        <v>808000</v>
      </c>
      <c r="E35" s="152">
        <f>+'rashodi-programska'!D19+'rashodi-programska'!D211+'rashodi-programska'!D222+'rashodi-programska'!D271+'rashodi-programska'!D282</f>
        <v>949090.38</v>
      </c>
      <c r="F35" s="152">
        <f>'rashodi-programska'!E19+'rashodi-programska'!E76+'rashodi-programska'!E134+'rashodi-programska'!E248+'rashodi-programska'!E242+'rashodi-programska'!E211+'rashodi-programska'!E222+'rashodi-programska'!E271+'rashodi-programska'!E282</f>
        <v>949246.20000000007</v>
      </c>
      <c r="G35" s="212">
        <f t="shared" si="7"/>
        <v>123.74</v>
      </c>
      <c r="H35" s="199">
        <f t="shared" ref="H35:H37" si="8">ROUND(F35/E35*100,2)</f>
        <v>100.02</v>
      </c>
    </row>
    <row r="36" spans="1:8" ht="19.899999999999999" customHeight="1" x14ac:dyDescent="0.2">
      <c r="A36" s="104">
        <v>312</v>
      </c>
      <c r="B36" s="151" t="s">
        <v>74</v>
      </c>
      <c r="C36" s="152">
        <v>46951.25</v>
      </c>
      <c r="D36" s="152">
        <f>'rashodi-programska'!C23+'rashodi-programska'!C35+'rashodi-programska'!C78+'rashodi-programska'!C136+'rashodi-programska'!C250+'rashodi-programska'!C224</f>
        <v>35330.89</v>
      </c>
      <c r="E36" s="152">
        <f>+'rashodi-programska'!D35+'rashodi-programska'!D23+'rashodi-programska'!D213+'rashodi-programska'!D273</f>
        <v>50530.9</v>
      </c>
      <c r="F36" s="152">
        <f>'rashodi-programska'!E23+'rashodi-programska'!E35+'rashodi-programska'!E78+'rashodi-programska'!E136+'rashodi-programska'!E250+'rashodi-programska'!E224+'rashodi-programska'!E213+'rashodi-programska'!E273+'rashodi-programska'!E284</f>
        <v>48052.82</v>
      </c>
      <c r="G36" s="212">
        <f t="shared" si="7"/>
        <v>102.35</v>
      </c>
      <c r="H36" s="199">
        <f t="shared" si="8"/>
        <v>95.1</v>
      </c>
    </row>
    <row r="37" spans="1:8" ht="19.899999999999999" customHeight="1" x14ac:dyDescent="0.2">
      <c r="A37" s="104">
        <v>313</v>
      </c>
      <c r="B37" s="151" t="s">
        <v>103</v>
      </c>
      <c r="C37" s="152">
        <v>126577.03</v>
      </c>
      <c r="D37" s="152">
        <f>SUM('rashodi-programska'!C25,'rashodi-programska'!C80,'rashodi-programska'!C138,'rashodi-programska'!C215,'rashodi-programska'!C226,'rashodi-programska'!C244,'rashodi-programska'!C252)</f>
        <v>133000</v>
      </c>
      <c r="E37" s="152">
        <f>+'rashodi-programska'!D25+'rashodi-programska'!D215+'rashodi-programska'!D226+'rashodi-programska'!D286</f>
        <v>156819.63</v>
      </c>
      <c r="F37" s="152">
        <f>SUM('rashodi-programska'!E25,'rashodi-programska'!E80,'rashodi-programska'!E138,'rashodi-programska'!E215,'rashodi-programska'!E226,'rashodi-programska'!E244,'rashodi-programska'!E252)+'rashodi-programska'!E286</f>
        <v>156625.76</v>
      </c>
      <c r="G37" s="212">
        <f t="shared" si="7"/>
        <v>123.74</v>
      </c>
      <c r="H37" s="199">
        <f t="shared" si="8"/>
        <v>99.88</v>
      </c>
    </row>
    <row r="38" spans="1:8" s="100" customFormat="1" ht="19.899999999999999" customHeight="1" x14ac:dyDescent="0.2">
      <c r="A38" s="101">
        <v>32</v>
      </c>
      <c r="B38" s="102" t="s">
        <v>135</v>
      </c>
      <c r="C38" s="150">
        <f>SUM(C39:C43)</f>
        <v>132302.75</v>
      </c>
      <c r="D38" s="150">
        <f>SUM(D39:D43)</f>
        <v>159336.95999999999</v>
      </c>
      <c r="E38" s="150">
        <f>+E39+E40+E41+E42+E43</f>
        <v>157829.9</v>
      </c>
      <c r="F38" s="150">
        <f t="shared" ref="F38" si="9">SUM(F39:F43)</f>
        <v>146259.44000000003</v>
      </c>
      <c r="G38" s="211">
        <f t="shared" si="7"/>
        <v>110.55</v>
      </c>
      <c r="H38" s="215">
        <f>ROUND(F38/E38*100,2)</f>
        <v>92.67</v>
      </c>
    </row>
    <row r="39" spans="1:8" ht="19.899999999999999" customHeight="1" x14ac:dyDescent="0.2">
      <c r="A39" s="104">
        <v>321</v>
      </c>
      <c r="B39" s="151" t="s">
        <v>105</v>
      </c>
      <c r="C39" s="152">
        <v>24988.04</v>
      </c>
      <c r="D39" s="152">
        <f>'rashodi-programska'!C38+'rashodi-programska'!C83+'rashodi-programska'!C181+'rashodi-programska'!C255+'rashodi-programska'!C142+SUM('rashodi-programska'!C28)+'rashodi-programska'!C235+'rashodi-programska'!C229</f>
        <v>36367.58</v>
      </c>
      <c r="E39" s="152">
        <f>+'rashodi-programska'!D38+'rashodi-programska'!D28+'rashodi-programska'!D112+'rashodi-programska'!D218+'rashodi-programska'!D289+'rashodi-programska'!D235+'rashodi-programska'!D83</f>
        <v>29866.98</v>
      </c>
      <c r="F39" s="152">
        <f>'rashodi-programska'!E38+'rashodi-programska'!E83+'rashodi-programska'!E181+'rashodi-programska'!E255+'rashodi-programska'!E142+SUM('rashodi-programska'!E28)+'rashodi-programska'!E235+'rashodi-programska'!E229+'rashodi-programska'!E218+'rashodi-programska'!E112+'rashodi-programska'!E291</f>
        <v>29803.260000000002</v>
      </c>
      <c r="G39" s="212">
        <f t="shared" si="7"/>
        <v>119.27</v>
      </c>
      <c r="H39" s="199">
        <f t="shared" ref="H39:H43" si="10">ROUND(F39/E39*100,2)</f>
        <v>99.79</v>
      </c>
    </row>
    <row r="40" spans="1:8" ht="19.899999999999999" customHeight="1" x14ac:dyDescent="0.2">
      <c r="A40" s="104">
        <v>322</v>
      </c>
      <c r="B40" s="151" t="s">
        <v>106</v>
      </c>
      <c r="C40" s="152">
        <v>81271.47</v>
      </c>
      <c r="D40" s="152">
        <f>'rashodi-programska'!C43+'rashodi-programska'!C86+'rashodi-programska'!C114+'rashodi-programska'!C144+'rashodi-programska'!C183+SUM('rashodi-programska'!C261,'rashodi-programska'!C266)+'rashodi-programska'!C237</f>
        <v>95918.540000000008</v>
      </c>
      <c r="E40" s="152">
        <f>+'rashodi-programska'!D43+'rashodi-programska'!D86+'rashodi-programska'!D114+'rashodi-programska'!D144+'rashodi-programska'!D183+'rashodi-programska'!D237+'rashodi-programska'!D266+'rashodi-programska'!D261</f>
        <v>88744.16</v>
      </c>
      <c r="F40" s="152">
        <f>'rashodi-programska'!E43+'rashodi-programska'!E86+'rashodi-programska'!E114+'rashodi-programska'!E144+'rashodi-programska'!E183+SUM('rashodi-programska'!E261,'rashodi-programska'!E266)+'rashodi-programska'!E237</f>
        <v>83187.300000000017</v>
      </c>
      <c r="G40" s="212">
        <f t="shared" si="7"/>
        <v>102.36</v>
      </c>
      <c r="H40" s="199">
        <f t="shared" si="10"/>
        <v>93.74</v>
      </c>
    </row>
    <row r="41" spans="1:8" ht="19.899999999999999" customHeight="1" x14ac:dyDescent="0.2">
      <c r="A41" s="104">
        <v>323</v>
      </c>
      <c r="B41" s="151" t="s">
        <v>107</v>
      </c>
      <c r="C41" s="152">
        <v>12310.48</v>
      </c>
      <c r="D41" s="152">
        <f>'rashodi-programska'!C50+'rashodi-programska'!C91+'rashodi-programska'!C119+'rashodi-programska'!C148+'rashodi-programska'!C187+'rashodi-programska'!C202</f>
        <v>11387.85</v>
      </c>
      <c r="E41" s="152">
        <f>+'rashodi-programska'!D50+'rashodi-programska'!D91+'rashodi-programska'!D119+'rashodi-programska'!D148+'rashodi-programska'!D187</f>
        <v>19588.52</v>
      </c>
      <c r="F41" s="152">
        <f>'rashodi-programska'!E50+'rashodi-programska'!E91+'rashodi-programska'!E119+'rashodi-programska'!E148+'rashodi-programska'!E187+'rashodi-programska'!E202+'rashodi-programska'!E292</f>
        <v>18375.249999999996</v>
      </c>
      <c r="G41" s="212">
        <f t="shared" si="7"/>
        <v>149.27000000000001</v>
      </c>
      <c r="H41" s="199">
        <f t="shared" si="10"/>
        <v>93.81</v>
      </c>
    </row>
    <row r="42" spans="1:8" ht="19.899999999999999" customHeight="1" x14ac:dyDescent="0.2">
      <c r="A42" s="104">
        <v>324</v>
      </c>
      <c r="B42" s="151" t="s">
        <v>136</v>
      </c>
      <c r="C42" s="152">
        <v>146.55000000000001</v>
      </c>
      <c r="D42" s="152">
        <f>'rashodi-programska'!C60+'rashodi-programska'!C121+'rashodi-programska'!C155</f>
        <v>0</v>
      </c>
      <c r="E42" s="152">
        <f>+'rashodi-programska'!D155</f>
        <v>200</v>
      </c>
      <c r="F42" s="152">
        <f>'rashodi-programska'!E60+'rashodi-programska'!E121+'rashodi-programska'!E155</f>
        <v>180</v>
      </c>
      <c r="G42" s="212">
        <f t="shared" si="7"/>
        <v>122.82</v>
      </c>
      <c r="H42" s="199">
        <f t="shared" si="10"/>
        <v>90</v>
      </c>
    </row>
    <row r="43" spans="1:8" ht="19.899999999999999" customHeight="1" x14ac:dyDescent="0.2">
      <c r="A43" s="104">
        <v>329</v>
      </c>
      <c r="B43" s="151" t="s">
        <v>44</v>
      </c>
      <c r="C43" s="152">
        <v>13586.21</v>
      </c>
      <c r="D43" s="152">
        <f>'rashodi-programska'!C30+'rashodi-programska'!C62+'rashodi-programska'!C97+'rashodi-programska'!C123+'rashodi-programska'!C157+'rashodi-programska'!C191</f>
        <v>15662.99</v>
      </c>
      <c r="E43" s="152">
        <f>+'rashodi-programska'!D30+'rashodi-programska'!D62+'rashodi-programska'!D97+'rashodi-programska'!D123+'rashodi-programska'!D157+'rashodi-programska'!D191</f>
        <v>19430.239999999998</v>
      </c>
      <c r="F43" s="152">
        <f>'rashodi-programska'!E30+'rashodi-programska'!E62+'rashodi-programska'!E97+'rashodi-programska'!E123+'rashodi-programska'!E157+'rashodi-programska'!E191</f>
        <v>14713.63</v>
      </c>
      <c r="G43" s="212">
        <f t="shared" si="7"/>
        <v>108.3</v>
      </c>
      <c r="H43" s="199">
        <f t="shared" si="10"/>
        <v>75.73</v>
      </c>
    </row>
    <row r="44" spans="1:8" s="100" customFormat="1" ht="19.899999999999999" customHeight="1" x14ac:dyDescent="0.2">
      <c r="A44" s="101">
        <v>34</v>
      </c>
      <c r="B44" s="102" t="s">
        <v>137</v>
      </c>
      <c r="C44" s="150">
        <f>C45</f>
        <v>435.31</v>
      </c>
      <c r="D44" s="150">
        <f>D45</f>
        <v>66.36</v>
      </c>
      <c r="E44" s="150">
        <f>+E45</f>
        <v>10</v>
      </c>
      <c r="F44" s="150">
        <f>F45</f>
        <v>4.25</v>
      </c>
      <c r="G44" s="211">
        <f t="shared" si="7"/>
        <v>0.98</v>
      </c>
      <c r="H44" s="215">
        <f t="shared" ref="H44:H51" si="11">ROUND(F44/E44*100,2)</f>
        <v>42.5</v>
      </c>
    </row>
    <row r="45" spans="1:8" ht="19.899999999999999" customHeight="1" x14ac:dyDescent="0.2">
      <c r="A45" s="104">
        <v>343</v>
      </c>
      <c r="B45" s="151" t="s">
        <v>108</v>
      </c>
      <c r="C45" s="152">
        <v>435.31</v>
      </c>
      <c r="D45" s="152">
        <f>'rashodi-programska'!C69+'rashodi-programska'!C164</f>
        <v>66.36</v>
      </c>
      <c r="E45" s="152">
        <f>+'rashodi-programska'!D69</f>
        <v>10</v>
      </c>
      <c r="F45" s="152">
        <f>'rashodi-programska'!E69+'rashodi-programska'!E164</f>
        <v>4.25</v>
      </c>
      <c r="G45" s="212">
        <f t="shared" si="7"/>
        <v>0.98</v>
      </c>
      <c r="H45" s="199">
        <f t="shared" si="11"/>
        <v>42.5</v>
      </c>
    </row>
    <row r="46" spans="1:8" s="100" customFormat="1" ht="29.25" customHeight="1" x14ac:dyDescent="0.2">
      <c r="A46" s="101">
        <v>37</v>
      </c>
      <c r="B46" s="102" t="s">
        <v>156</v>
      </c>
      <c r="C46" s="150">
        <f>C47</f>
        <v>7599.39</v>
      </c>
      <c r="D46" s="150">
        <f>D47</f>
        <v>8000</v>
      </c>
      <c r="E46" s="150">
        <f>+E47</f>
        <v>8531.08</v>
      </c>
      <c r="F46" s="150">
        <f>F47</f>
        <v>8531.08</v>
      </c>
      <c r="G46" s="211">
        <f t="shared" si="7"/>
        <v>112.26</v>
      </c>
      <c r="H46" s="215">
        <f t="shared" si="11"/>
        <v>100</v>
      </c>
    </row>
    <row r="47" spans="1:8" ht="19.899999999999999" customHeight="1" x14ac:dyDescent="0.2">
      <c r="A47" s="104">
        <v>372</v>
      </c>
      <c r="B47" s="151" t="s">
        <v>157</v>
      </c>
      <c r="C47" s="152">
        <v>7599.39</v>
      </c>
      <c r="D47" s="152">
        <f>'rashodi-programska'!C167</f>
        <v>8000</v>
      </c>
      <c r="E47" s="152">
        <f>+'rashodi-programska'!D167</f>
        <v>8531.08</v>
      </c>
      <c r="F47" s="152">
        <f>'rashodi-programska'!E167</f>
        <v>8531.08</v>
      </c>
      <c r="G47" s="212">
        <f t="shared" si="7"/>
        <v>112.26</v>
      </c>
      <c r="H47" s="199">
        <f t="shared" si="11"/>
        <v>100</v>
      </c>
    </row>
    <row r="48" spans="1:8" ht="19.899999999999999" customHeight="1" x14ac:dyDescent="0.2">
      <c r="A48" s="101">
        <v>38</v>
      </c>
      <c r="B48" s="102" t="s">
        <v>208</v>
      </c>
      <c r="C48" s="150">
        <f>SUM(C49)</f>
        <v>473.18</v>
      </c>
      <c r="D48" s="150">
        <f t="shared" ref="D48:G48" si="12">SUM(D49)</f>
        <v>500</v>
      </c>
      <c r="E48" s="150">
        <f>+E49</f>
        <v>465.25</v>
      </c>
      <c r="F48" s="150">
        <f t="shared" si="12"/>
        <v>465.25</v>
      </c>
      <c r="G48" s="150">
        <f t="shared" si="12"/>
        <v>98.32</v>
      </c>
      <c r="H48" s="215">
        <f t="shared" si="11"/>
        <v>100</v>
      </c>
    </row>
    <row r="49" spans="1:9" ht="19.899999999999999" customHeight="1" x14ac:dyDescent="0.2">
      <c r="A49" s="104">
        <v>381</v>
      </c>
      <c r="B49" s="151" t="s">
        <v>55</v>
      </c>
      <c r="C49" s="152">
        <v>473.18</v>
      </c>
      <c r="D49" s="152">
        <f>SUM('rashodi-programska'!C170)</f>
        <v>500</v>
      </c>
      <c r="E49" s="152">
        <f>+'rashodi-programska'!D170</f>
        <v>465.25</v>
      </c>
      <c r="F49" s="152">
        <f>SUM('rashodi-programska'!E170)</f>
        <v>465.25</v>
      </c>
      <c r="G49" s="212">
        <f t="shared" si="7"/>
        <v>98.32</v>
      </c>
      <c r="H49" s="199">
        <f t="shared" si="11"/>
        <v>100</v>
      </c>
    </row>
    <row r="50" spans="1:9" s="103" customFormat="1" ht="19.899999999999999" customHeight="1" x14ac:dyDescent="0.2">
      <c r="A50" s="98">
        <v>4</v>
      </c>
      <c r="B50" s="153" t="s">
        <v>96</v>
      </c>
      <c r="C50" s="154">
        <f>C51</f>
        <v>7026.98</v>
      </c>
      <c r="D50" s="154">
        <f>D51</f>
        <v>5700</v>
      </c>
      <c r="E50" s="154">
        <f>+E51</f>
        <v>3010</v>
      </c>
      <c r="F50" s="154">
        <f>F51</f>
        <v>3564.99</v>
      </c>
      <c r="G50" s="203">
        <f>ROUND(F50/C50*100,2)</f>
        <v>50.73</v>
      </c>
      <c r="H50" s="198">
        <f t="shared" si="11"/>
        <v>118.44</v>
      </c>
      <c r="I50" s="177"/>
    </row>
    <row r="51" spans="1:9" s="100" customFormat="1" ht="19.899999999999999" customHeight="1" x14ac:dyDescent="0.2">
      <c r="A51" s="101">
        <v>42</v>
      </c>
      <c r="B51" s="102" t="s">
        <v>138</v>
      </c>
      <c r="C51" s="150">
        <f>SUM(C52:C53)</f>
        <v>7026.98</v>
      </c>
      <c r="D51" s="150">
        <f>SUM(D52:D53)</f>
        <v>5700</v>
      </c>
      <c r="E51" s="150">
        <f>+E52+E53</f>
        <v>3010</v>
      </c>
      <c r="F51" s="150">
        <f>SUM(F52:F53)</f>
        <v>3564.99</v>
      </c>
      <c r="G51" s="211">
        <f>ROUND(F51/C51*100,2)</f>
        <v>50.73</v>
      </c>
      <c r="H51" s="215">
        <f t="shared" si="11"/>
        <v>118.44</v>
      </c>
    </row>
    <row r="52" spans="1:9" ht="19.899999999999999" customHeight="1" x14ac:dyDescent="0.2">
      <c r="A52" s="104">
        <v>422</v>
      </c>
      <c r="B52" s="151" t="s">
        <v>110</v>
      </c>
      <c r="C52" s="152">
        <v>4357.54</v>
      </c>
      <c r="D52" s="152">
        <f>'rashodi-programska'!C101+'rashodi-programska'!C128+'rashodi-programska'!C173+'rashodi-programska'!C195+'rashodi-programska'!C205</f>
        <v>2000</v>
      </c>
      <c r="E52" s="152">
        <f>+'rashodi-programska'!D101+'rashodi-programska'!D195</f>
        <v>2200</v>
      </c>
      <c r="F52" s="152">
        <f>'rashodi-programska'!E101+'rashodi-programska'!E128+'rashodi-programska'!E173+'rashodi-programska'!E195+'rashodi-programska'!E205</f>
        <v>2695</v>
      </c>
      <c r="G52" s="212">
        <f>ROUND(F52/C52*100,2)</f>
        <v>61.85</v>
      </c>
      <c r="H52" s="199">
        <f t="shared" ref="H52:H53" si="13">ROUND(F52/E52*100,2)</f>
        <v>122.5</v>
      </c>
    </row>
    <row r="53" spans="1:9" ht="19.899999999999999" customHeight="1" x14ac:dyDescent="0.2">
      <c r="A53" s="104">
        <v>424</v>
      </c>
      <c r="B53" s="151" t="s">
        <v>139</v>
      </c>
      <c r="C53" s="152">
        <v>2669.44</v>
      </c>
      <c r="D53" s="152">
        <f>'rashodi-programska'!C108+'rashodi-programska'!C130+'rashodi-programska'!C177+'rashodi-programska'!C198</f>
        <v>3700</v>
      </c>
      <c r="E53" s="152">
        <f>+'rashodi-programska'!D198+'rashodi-programska'!D177+'rashodi-programska'!D108</f>
        <v>810</v>
      </c>
      <c r="F53" s="152">
        <f>'rashodi-programska'!E108+'rashodi-programska'!E130+'rashodi-programska'!E177+'rashodi-programska'!E198</f>
        <v>869.99</v>
      </c>
      <c r="G53" s="212">
        <f>ROUND(F53/C53*100,2)</f>
        <v>32.590000000000003</v>
      </c>
      <c r="H53" s="199">
        <f t="shared" si="13"/>
        <v>107.41</v>
      </c>
    </row>
    <row r="54" spans="1:9" s="103" customFormat="1" ht="19.899999999999999" customHeight="1" x14ac:dyDescent="0.2">
      <c r="A54" s="107"/>
      <c r="B54" s="155" t="s">
        <v>140</v>
      </c>
      <c r="C54" s="142">
        <f>C33+C50</f>
        <v>1088467.4099999999</v>
      </c>
      <c r="D54" s="142">
        <f>D33+D50</f>
        <v>1149934.2100000002</v>
      </c>
      <c r="E54" s="142">
        <f>+E33+E50</f>
        <v>1326287.1400000001</v>
      </c>
      <c r="F54" s="142">
        <f>F33+F50</f>
        <v>1312749.79</v>
      </c>
      <c r="G54" s="207">
        <f>ROUND(F54/C54*100,2)</f>
        <v>120.61</v>
      </c>
      <c r="H54" s="256">
        <f>ROUND(F54/E54*100,2)</f>
        <v>98.98</v>
      </c>
    </row>
    <row r="55" spans="1:9" ht="19.899999999999999" customHeight="1" x14ac:dyDescent="0.2">
      <c r="H55" s="209"/>
    </row>
    <row r="56" spans="1:9" ht="19.899999999999999" customHeight="1" x14ac:dyDescent="0.2">
      <c r="H56" s="209"/>
    </row>
    <row r="57" spans="1:9" ht="19.899999999999999" customHeight="1" x14ac:dyDescent="0.2">
      <c r="H57" s="209"/>
    </row>
    <row r="58" spans="1:9" ht="19.899999999999999" customHeight="1" x14ac:dyDescent="0.2">
      <c r="H58" s="209"/>
    </row>
    <row r="59" spans="1:9" ht="19.899999999999999" customHeight="1" x14ac:dyDescent="0.2">
      <c r="H59" s="209"/>
    </row>
    <row r="60" spans="1:9" ht="19.899999999999999" customHeight="1" x14ac:dyDescent="0.2">
      <c r="H60" s="209"/>
    </row>
    <row r="61" spans="1:9" ht="19.899999999999999" customHeight="1" x14ac:dyDescent="0.2">
      <c r="H61" s="209"/>
    </row>
    <row r="62" spans="1:9" ht="19.899999999999999" customHeight="1" x14ac:dyDescent="0.2">
      <c r="H62" s="209"/>
    </row>
    <row r="63" spans="1:9" ht="19.899999999999999" customHeight="1" x14ac:dyDescent="0.2">
      <c r="H63" s="209"/>
    </row>
    <row r="64" spans="1:9" ht="19.899999999999999" customHeight="1" x14ac:dyDescent="0.2">
      <c r="H64" s="209"/>
    </row>
    <row r="65" spans="8:8" ht="19.899999999999999" customHeight="1" x14ac:dyDescent="0.2">
      <c r="H65" s="209"/>
    </row>
    <row r="66" spans="8:8" ht="19.899999999999999" customHeight="1" x14ac:dyDescent="0.2">
      <c r="H66" s="209"/>
    </row>
    <row r="67" spans="8:8" ht="19.899999999999999" customHeight="1" x14ac:dyDescent="0.2">
      <c r="H67" s="209"/>
    </row>
    <row r="68" spans="8:8" ht="19.899999999999999" customHeight="1" x14ac:dyDescent="0.2">
      <c r="H68" s="209"/>
    </row>
    <row r="69" spans="8:8" ht="19.899999999999999" customHeight="1" x14ac:dyDescent="0.2">
      <c r="H69" s="209"/>
    </row>
    <row r="70" spans="8:8" ht="19.899999999999999" customHeight="1" x14ac:dyDescent="0.2"/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G20" sqref="G20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30"/>
      <c r="C1" s="230"/>
      <c r="D1" s="230"/>
      <c r="E1" s="230"/>
      <c r="F1" s="231"/>
      <c r="G1" s="231"/>
      <c r="H1" s="231"/>
    </row>
    <row r="2" spans="2:8" ht="15.75" customHeight="1" x14ac:dyDescent="0.2">
      <c r="B2" s="282" t="s">
        <v>214</v>
      </c>
      <c r="C2" s="282"/>
      <c r="D2" s="282"/>
      <c r="E2" s="282"/>
      <c r="F2" s="282"/>
      <c r="G2" s="282"/>
      <c r="H2" s="282"/>
    </row>
    <row r="3" spans="2:8" ht="18" x14ac:dyDescent="0.2">
      <c r="B3" s="230"/>
      <c r="C3" s="230"/>
      <c r="D3" s="230"/>
      <c r="E3" s="230"/>
      <c r="F3" s="231"/>
      <c r="G3" s="231"/>
      <c r="H3" s="231"/>
    </row>
    <row r="4" spans="2:8" ht="25.5" x14ac:dyDescent="0.2">
      <c r="B4" s="232" t="s">
        <v>215</v>
      </c>
      <c r="C4" s="232" t="s">
        <v>241</v>
      </c>
      <c r="D4" s="232" t="s">
        <v>272</v>
      </c>
      <c r="E4" s="232" t="s">
        <v>242</v>
      </c>
      <c r="F4" s="232" t="s">
        <v>243</v>
      </c>
      <c r="G4" s="232" t="s">
        <v>90</v>
      </c>
      <c r="H4" s="232" t="s">
        <v>216</v>
      </c>
    </row>
    <row r="5" spans="2:8" x14ac:dyDescent="0.2">
      <c r="B5" s="232">
        <v>1</v>
      </c>
      <c r="C5" s="232">
        <v>2</v>
      </c>
      <c r="D5" s="232">
        <v>3</v>
      </c>
      <c r="E5" s="232">
        <v>4</v>
      </c>
      <c r="F5" s="232">
        <v>5</v>
      </c>
      <c r="G5" s="232" t="s">
        <v>217</v>
      </c>
      <c r="H5" s="232" t="s">
        <v>218</v>
      </c>
    </row>
    <row r="6" spans="2:8" ht="15.75" customHeight="1" x14ac:dyDescent="0.2">
      <c r="B6" s="233" t="s">
        <v>169</v>
      </c>
      <c r="C6" s="243">
        <f>SUM(C7)</f>
        <v>1088467.4099999999</v>
      </c>
      <c r="D6" s="243">
        <f t="shared" ref="D6:F6" si="0">SUM(D7)</f>
        <v>1149934.21</v>
      </c>
      <c r="E6" s="243">
        <f t="shared" si="0"/>
        <v>1326287.1400000001</v>
      </c>
      <c r="F6" s="243">
        <f t="shared" si="0"/>
        <v>1312749.79</v>
      </c>
      <c r="G6" s="244">
        <f>F6/C6*100</f>
        <v>120.60533718689842</v>
      </c>
      <c r="H6" s="244">
        <f>F6/E6*100</f>
        <v>98.979304737886537</v>
      </c>
    </row>
    <row r="7" spans="2:8" ht="15.75" customHeight="1" x14ac:dyDescent="0.2">
      <c r="B7" s="233" t="s">
        <v>219</v>
      </c>
      <c r="C7" s="243">
        <f>SUM(C8:C9)</f>
        <v>1088467.4099999999</v>
      </c>
      <c r="D7" s="243">
        <f t="shared" ref="D7:F7" si="1">SUM(D8:D9)</f>
        <v>1149934.21</v>
      </c>
      <c r="E7" s="243">
        <f t="shared" si="1"/>
        <v>1326287.1400000001</v>
      </c>
      <c r="F7" s="243">
        <f t="shared" si="1"/>
        <v>1312749.79</v>
      </c>
      <c r="G7" s="244">
        <f t="shared" ref="G7:G9" si="2">F7/C7*100</f>
        <v>120.60533718689842</v>
      </c>
      <c r="H7" s="244">
        <f t="shared" ref="H7:H9" si="3">F7/E7*100</f>
        <v>98.979304737886537</v>
      </c>
    </row>
    <row r="8" spans="2:8" x14ac:dyDescent="0.2">
      <c r="B8" s="236" t="s">
        <v>220</v>
      </c>
      <c r="C8" s="243">
        <v>1053576.44</v>
      </c>
      <c r="D8" s="243">
        <v>1104584.21</v>
      </c>
      <c r="E8" s="243">
        <v>1280259.04</v>
      </c>
      <c r="F8" s="243">
        <v>1268406.83</v>
      </c>
      <c r="G8" s="244">
        <f t="shared" si="2"/>
        <v>120.3905840946861</v>
      </c>
      <c r="H8" s="244">
        <f t="shared" si="3"/>
        <v>99.07423344575642</v>
      </c>
    </row>
    <row r="9" spans="2:8" x14ac:dyDescent="0.2">
      <c r="B9" s="237" t="s">
        <v>221</v>
      </c>
      <c r="C9" s="243">
        <v>34890.97</v>
      </c>
      <c r="D9" s="243">
        <v>45350</v>
      </c>
      <c r="E9" s="243">
        <v>46028.1</v>
      </c>
      <c r="F9" s="243">
        <v>44342.96</v>
      </c>
      <c r="G9" s="244">
        <f t="shared" si="2"/>
        <v>127.09007516844615</v>
      </c>
      <c r="H9" s="244">
        <f t="shared" si="3"/>
        <v>96.338888635420545</v>
      </c>
    </row>
    <row r="10" spans="2:8" x14ac:dyDescent="0.2">
      <c r="B10" s="237"/>
      <c r="C10" s="234"/>
      <c r="D10" s="234"/>
      <c r="E10" s="234"/>
      <c r="F10" s="235"/>
      <c r="G10" s="235"/>
      <c r="H10" s="235"/>
    </row>
    <row r="11" spans="2:8" x14ac:dyDescent="0.2">
      <c r="B11" s="233"/>
      <c r="C11" s="234"/>
      <c r="D11" s="234"/>
      <c r="E11" s="238"/>
      <c r="F11" s="235"/>
      <c r="G11" s="235"/>
      <c r="H11" s="235"/>
    </row>
    <row r="12" spans="2:8" x14ac:dyDescent="0.2">
      <c r="B12" s="239"/>
      <c r="C12" s="234"/>
      <c r="D12" s="234"/>
      <c r="E12" s="238"/>
      <c r="F12" s="235"/>
      <c r="G12" s="235"/>
      <c r="H12" s="235"/>
    </row>
    <row r="13" spans="2:8" x14ac:dyDescent="0.2">
      <c r="B13" s="240"/>
      <c r="C13" s="234"/>
      <c r="D13" s="234"/>
      <c r="E13" s="238"/>
      <c r="F13" s="235"/>
      <c r="G13" s="235"/>
      <c r="H13" s="235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9" zoomScale="130" zoomScaleNormal="130" workbookViewId="0">
      <selection activeCell="G38" sqref="G38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3.28515625" style="29" customWidth="1"/>
    <col min="4" max="7" width="13.42578125" style="129" customWidth="1"/>
    <col min="8" max="8" width="13.42578125" style="209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91</v>
      </c>
      <c r="B1" s="22"/>
      <c r="C1" s="22"/>
      <c r="D1" s="22"/>
      <c r="E1" s="22"/>
      <c r="F1" s="22"/>
      <c r="G1" s="22"/>
      <c r="H1" s="192"/>
    </row>
    <row r="2" spans="1:10" ht="12.75" customHeight="1" x14ac:dyDescent="0.2">
      <c r="A2" s="265" t="s">
        <v>237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2.75" customHeight="1" x14ac:dyDescent="0.2">
      <c r="A3" s="267" t="s">
        <v>238</v>
      </c>
      <c r="B3" s="267"/>
      <c r="C3" s="267"/>
      <c r="D3" s="267"/>
      <c r="E3" s="267"/>
      <c r="F3" s="267"/>
      <c r="G3" s="267"/>
      <c r="H3" s="267"/>
      <c r="I3" s="224"/>
      <c r="J3" s="224"/>
    </row>
    <row r="4" spans="1:10" ht="12.75" customHeight="1" x14ac:dyDescent="0.2">
      <c r="A4" s="265" t="s">
        <v>239</v>
      </c>
      <c r="B4" s="266"/>
      <c r="C4" s="266"/>
      <c r="D4" s="266"/>
      <c r="E4" s="266"/>
      <c r="F4" s="266"/>
      <c r="G4" s="266"/>
      <c r="H4" s="266"/>
      <c r="I4" s="266"/>
      <c r="J4" s="266"/>
    </row>
    <row r="6" spans="1:10" ht="12.75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</row>
    <row r="7" spans="1:10" ht="12.75" customHeight="1" x14ac:dyDescent="0.2">
      <c r="A7" s="257" t="str">
        <f>'OPĆI DIO'!A7:J7</f>
        <v>ZA RAZDOBLJE 1.1.- 31.12.2024.</v>
      </c>
      <c r="B7" s="257"/>
      <c r="C7" s="257"/>
      <c r="D7" s="257"/>
      <c r="E7" s="257"/>
      <c r="F7" s="257"/>
      <c r="G7" s="257"/>
      <c r="H7" s="257"/>
    </row>
    <row r="9" spans="1:10" s="100" customFormat="1" x14ac:dyDescent="0.2">
      <c r="A9" s="281" t="s">
        <v>165</v>
      </c>
      <c r="B9" s="281"/>
      <c r="C9" s="281"/>
      <c r="D9" s="281"/>
      <c r="E9" s="281"/>
      <c r="F9" s="281"/>
      <c r="G9" s="281"/>
      <c r="H9" s="281"/>
    </row>
    <row r="10" spans="1:10" s="77" customFormat="1" x14ac:dyDescent="0.2">
      <c r="D10" s="128"/>
      <c r="E10" s="128"/>
      <c r="F10" s="128"/>
      <c r="G10" s="128"/>
      <c r="H10" s="194"/>
    </row>
    <row r="11" spans="1:10" s="77" customFormat="1" ht="38.25" customHeight="1" x14ac:dyDescent="0.2">
      <c r="A11" s="173" t="s">
        <v>166</v>
      </c>
      <c r="B11" s="173" t="s">
        <v>167</v>
      </c>
      <c r="C11" s="173" t="s">
        <v>262</v>
      </c>
      <c r="D11" s="174" t="s">
        <v>260</v>
      </c>
      <c r="E11" s="174" t="s">
        <v>236</v>
      </c>
      <c r="F11" s="174" t="s">
        <v>263</v>
      </c>
      <c r="G11" s="174" t="s">
        <v>90</v>
      </c>
      <c r="H11" s="216" t="s">
        <v>99</v>
      </c>
    </row>
    <row r="12" spans="1:10" s="131" customFormat="1" ht="11.25" customHeight="1" x14ac:dyDescent="0.15">
      <c r="A12" s="279">
        <v>1</v>
      </c>
      <c r="B12" s="280"/>
      <c r="C12" s="229">
        <v>2</v>
      </c>
      <c r="D12" s="132">
        <v>3</v>
      </c>
      <c r="E12" s="132">
        <v>4</v>
      </c>
      <c r="F12" s="132">
        <v>5</v>
      </c>
      <c r="G12" s="132" t="s">
        <v>212</v>
      </c>
      <c r="H12" s="197" t="s">
        <v>213</v>
      </c>
    </row>
    <row r="13" spans="1:10" s="83" customFormat="1" ht="12.75" customHeight="1" x14ac:dyDescent="0.2">
      <c r="A13" s="162" t="s">
        <v>187</v>
      </c>
      <c r="B13" s="163" t="s">
        <v>150</v>
      </c>
      <c r="C13" s="164"/>
      <c r="D13" s="164"/>
      <c r="E13" s="164"/>
      <c r="F13" s="164"/>
      <c r="G13" s="164"/>
      <c r="H13" s="217"/>
    </row>
    <row r="14" spans="1:10" s="83" customFormat="1" ht="12.75" customHeight="1" x14ac:dyDescent="0.2">
      <c r="A14" s="81"/>
      <c r="B14" s="82" t="s">
        <v>148</v>
      </c>
      <c r="C14" s="136">
        <v>60222.52</v>
      </c>
      <c r="D14" s="136">
        <f>'prihodi programska'!D16</f>
        <v>63069.21</v>
      </c>
      <c r="E14" s="136">
        <f>SUM(D14)</f>
        <v>63069.21</v>
      </c>
      <c r="F14" s="136">
        <f>'prihodi programska'!F16</f>
        <v>64755.46</v>
      </c>
      <c r="G14" s="136">
        <f>ROUND(F14/C14*100,2)</f>
        <v>107.53</v>
      </c>
      <c r="H14" s="199">
        <f>ROUND(F14/E14*100,2)</f>
        <v>102.67</v>
      </c>
    </row>
    <row r="15" spans="1:10" s="83" customFormat="1" ht="12.75" customHeight="1" x14ac:dyDescent="0.2">
      <c r="A15" s="81"/>
      <c r="B15" s="82" t="s">
        <v>149</v>
      </c>
      <c r="C15" s="136">
        <v>62449.120000000003</v>
      </c>
      <c r="D15" s="136">
        <f>'rashodi-programska'!C33</f>
        <v>63069.21</v>
      </c>
      <c r="E15" s="136">
        <f t="shared" ref="E15:E35" si="0">SUM(D15)</f>
        <v>63069.21</v>
      </c>
      <c r="F15" s="136">
        <f>SUM('rashodi-programska'!E33)</f>
        <v>59368.4</v>
      </c>
      <c r="G15" s="136">
        <f>ROUND(F15/C15*100,2)</f>
        <v>95.07</v>
      </c>
      <c r="H15" s="199">
        <f>ROUND(F15/E15*100,2)</f>
        <v>94.13</v>
      </c>
      <c r="I15" s="169"/>
      <c r="J15" s="169"/>
    </row>
    <row r="16" spans="1:10" s="86" customFormat="1" ht="12.75" customHeight="1" x14ac:dyDescent="0.2">
      <c r="A16" s="162" t="s">
        <v>188</v>
      </c>
      <c r="B16" s="163" t="s">
        <v>151</v>
      </c>
      <c r="C16" s="164"/>
      <c r="D16" s="164"/>
      <c r="E16" s="164"/>
      <c r="F16" s="164"/>
      <c r="G16" s="164"/>
      <c r="H16" s="217"/>
    </row>
    <row r="17" spans="1:11" s="83" customFormat="1" ht="12.75" customHeight="1" x14ac:dyDescent="0.2">
      <c r="A17" s="81"/>
      <c r="B17" s="82" t="s">
        <v>148</v>
      </c>
      <c r="C17" s="136">
        <v>5114.07</v>
      </c>
      <c r="D17" s="136">
        <f>+'prihodi programska'!D18</f>
        <v>5000</v>
      </c>
      <c r="E17" s="136">
        <f>+'prihodi programska'!E18</f>
        <v>6000</v>
      </c>
      <c r="F17" s="136">
        <f>'prihodi programska'!F18</f>
        <v>4902.1900000000005</v>
      </c>
      <c r="G17" s="136">
        <f t="shared" ref="G17:G18" si="1">ROUND(F17/C17*100,2)</f>
        <v>95.86</v>
      </c>
      <c r="H17" s="199">
        <f t="shared" ref="H17:H18" si="2">ROUND(F17/E17*100,2)</f>
        <v>81.7</v>
      </c>
    </row>
    <row r="18" spans="1:11" s="86" customFormat="1" ht="12.75" customHeight="1" x14ac:dyDescent="0.2">
      <c r="A18" s="84"/>
      <c r="B18" s="82" t="s">
        <v>149</v>
      </c>
      <c r="C18" s="136">
        <v>3253.63</v>
      </c>
      <c r="D18" s="136">
        <f>+'rashodi-programska'!C74</f>
        <v>9000</v>
      </c>
      <c r="E18" s="136">
        <f>+'rashodi-programska'!D74</f>
        <v>10690.21</v>
      </c>
      <c r="F18" s="136">
        <f>'rashodi-programska'!E74</f>
        <v>6990.36</v>
      </c>
      <c r="G18" s="136">
        <f t="shared" si="1"/>
        <v>214.85</v>
      </c>
      <c r="H18" s="199">
        <f t="shared" si="2"/>
        <v>65.39</v>
      </c>
    </row>
    <row r="19" spans="1:11" s="86" customFormat="1" ht="12.75" customHeight="1" x14ac:dyDescent="0.2">
      <c r="A19" s="162" t="s">
        <v>189</v>
      </c>
      <c r="B19" s="163" t="s">
        <v>168</v>
      </c>
      <c r="C19" s="164"/>
      <c r="D19" s="164"/>
      <c r="E19" s="164"/>
      <c r="F19" s="164"/>
      <c r="G19" s="164"/>
      <c r="H19" s="217"/>
    </row>
    <row r="20" spans="1:11" s="83" customFormat="1" ht="12.75" customHeight="1" x14ac:dyDescent="0.2">
      <c r="A20" s="81"/>
      <c r="B20" s="82" t="s">
        <v>148</v>
      </c>
      <c r="C20" s="136">
        <v>1012.18</v>
      </c>
      <c r="D20" s="136">
        <f>+'prihodi programska'!D23</f>
        <v>1000</v>
      </c>
      <c r="E20" s="136">
        <f>+'prihodi programska'!E23</f>
        <v>906.2</v>
      </c>
      <c r="F20" s="136">
        <f>'prihodi programska'!F23</f>
        <v>906.2</v>
      </c>
      <c r="G20" s="136">
        <f t="shared" ref="G20:G21" si="3">ROUND(F20/C20*100,2)</f>
        <v>89.53</v>
      </c>
      <c r="H20" s="199">
        <f t="shared" ref="H20:H21" si="4">ROUND(F20/E20*100,2)</f>
        <v>100</v>
      </c>
    </row>
    <row r="21" spans="1:11" s="83" customFormat="1" ht="12.75" customHeight="1" x14ac:dyDescent="0.2">
      <c r="A21" s="84"/>
      <c r="B21" s="82" t="s">
        <v>149</v>
      </c>
      <c r="C21" s="136">
        <v>1994.35</v>
      </c>
      <c r="D21" s="136">
        <f>+'rashodi-programska'!C110</f>
        <v>3000</v>
      </c>
      <c r="E21" s="136">
        <f>+'rashodi-programska'!D110</f>
        <v>3005.58</v>
      </c>
      <c r="F21" s="136">
        <f>'rashodi-programska'!E110</f>
        <v>2904.38</v>
      </c>
      <c r="G21" s="136">
        <f t="shared" si="3"/>
        <v>145.63</v>
      </c>
      <c r="H21" s="199">
        <f t="shared" si="4"/>
        <v>96.63</v>
      </c>
      <c r="K21" s="169"/>
    </row>
    <row r="22" spans="1:11" ht="12.75" customHeight="1" x14ac:dyDescent="0.2">
      <c r="A22" s="162" t="s">
        <v>190</v>
      </c>
      <c r="B22" s="163" t="s">
        <v>152</v>
      </c>
      <c r="C22" s="164"/>
      <c r="D22" s="164"/>
      <c r="E22" s="164"/>
      <c r="F22" s="164"/>
      <c r="G22" s="164"/>
      <c r="H22" s="217"/>
    </row>
    <row r="23" spans="1:11" ht="12.75" customHeight="1" x14ac:dyDescent="0.2">
      <c r="A23" s="81"/>
      <c r="B23" s="82" t="s">
        <v>148</v>
      </c>
      <c r="C23" s="136">
        <v>993898.36</v>
      </c>
      <c r="D23" s="136">
        <f>+'prihodi programska'!D27</f>
        <v>1054750</v>
      </c>
      <c r="E23" s="136">
        <f>+'prihodi programska'!E27</f>
        <v>1220850</v>
      </c>
      <c r="F23" s="136">
        <f>+'prihodi programska'!F27</f>
        <v>1220437.21</v>
      </c>
      <c r="G23" s="136">
        <f t="shared" ref="G23:G24" si="5">ROUND(F23/C23*100,2)</f>
        <v>122.79</v>
      </c>
      <c r="H23" s="199">
        <f t="shared" ref="H23:H24" si="6">ROUND(F23/E23*100,2)</f>
        <v>99.97</v>
      </c>
    </row>
    <row r="24" spans="1:11" ht="12.75" customHeight="1" x14ac:dyDescent="0.2">
      <c r="A24" s="84"/>
      <c r="B24" s="82" t="s">
        <v>149</v>
      </c>
      <c r="C24" s="136">
        <v>1004383.99</v>
      </c>
      <c r="D24" s="136">
        <f>+'rashodi-programska'!C17+'rashodi-programska'!C132+'rashodi-programska'!C233</f>
        <v>1057750</v>
      </c>
      <c r="E24" s="136">
        <f>+'rashodi-programska'!D17+'rashodi-programska'!D132+'rashodi-programska'!D233</f>
        <v>1223011.49</v>
      </c>
      <c r="F24" s="136">
        <f>'rashodi-programska'!E17+'rashodi-programska'!E132+'rashodi-programska'!E233</f>
        <v>1217037.8100000003</v>
      </c>
      <c r="G24" s="136">
        <f t="shared" si="5"/>
        <v>121.17</v>
      </c>
      <c r="H24" s="199">
        <f t="shared" si="6"/>
        <v>99.51</v>
      </c>
    </row>
    <row r="25" spans="1:11" ht="12.75" customHeight="1" x14ac:dyDescent="0.2">
      <c r="A25" s="162" t="s">
        <v>191</v>
      </c>
      <c r="B25" s="163" t="s">
        <v>153</v>
      </c>
      <c r="C25" s="164"/>
      <c r="D25" s="164"/>
      <c r="E25" s="164"/>
      <c r="F25" s="164"/>
      <c r="G25" s="164"/>
      <c r="H25" s="217"/>
    </row>
    <row r="26" spans="1:11" ht="12.75" customHeight="1" x14ac:dyDescent="0.2">
      <c r="A26" s="81"/>
      <c r="B26" s="82" t="s">
        <v>148</v>
      </c>
      <c r="C26" s="136">
        <v>640</v>
      </c>
      <c r="D26" s="136">
        <f>+'prihodi programska'!D39</f>
        <v>700</v>
      </c>
      <c r="E26" s="136">
        <f>+'prihodi programska'!E39</f>
        <v>2892.95</v>
      </c>
      <c r="F26" s="136">
        <f>'prihodi programska'!F39</f>
        <v>3283.16</v>
      </c>
      <c r="G26" s="136">
        <f t="shared" ref="G26:G27" si="7">ROUND(F26/C26*100,2)</f>
        <v>512.99</v>
      </c>
      <c r="H26" s="199">
        <f t="shared" ref="H26:H27" si="8">ROUND(F26/E26*100,2)</f>
        <v>113.49</v>
      </c>
    </row>
    <row r="27" spans="1:11" ht="12.75" customHeight="1" x14ac:dyDescent="0.2">
      <c r="A27" s="84"/>
      <c r="B27" s="82" t="s">
        <v>149</v>
      </c>
      <c r="C27" s="136">
        <v>432.05</v>
      </c>
      <c r="D27" s="136">
        <f>+'rashodi-programska'!C179</f>
        <v>700</v>
      </c>
      <c r="E27" s="136">
        <f>+'rashodi-programska'!D179</f>
        <v>3119.86</v>
      </c>
      <c r="F27" s="136">
        <f>'rashodi-programska'!E179</f>
        <v>3241.51</v>
      </c>
      <c r="G27" s="136">
        <f t="shared" si="7"/>
        <v>750.26</v>
      </c>
      <c r="H27" s="199">
        <f t="shared" si="8"/>
        <v>103.9</v>
      </c>
    </row>
    <row r="28" spans="1:11" ht="12.75" customHeight="1" x14ac:dyDescent="0.2">
      <c r="A28" s="162" t="s">
        <v>192</v>
      </c>
      <c r="B28" s="163" t="s">
        <v>94</v>
      </c>
      <c r="C28" s="164"/>
      <c r="D28" s="164"/>
      <c r="E28" s="164"/>
      <c r="F28" s="164"/>
      <c r="G28" s="164"/>
      <c r="H28" s="217"/>
    </row>
    <row r="29" spans="1:11" ht="12.75" customHeight="1" x14ac:dyDescent="0.2">
      <c r="A29" s="81"/>
      <c r="B29" s="82" t="s">
        <v>148</v>
      </c>
      <c r="C29" s="136"/>
      <c r="D29" s="136">
        <f>'prihodi programska'!D44</f>
        <v>0</v>
      </c>
      <c r="E29" s="136">
        <f t="shared" si="0"/>
        <v>0</v>
      </c>
      <c r="F29" s="136">
        <f>'prihodi programska'!F44</f>
        <v>0</v>
      </c>
      <c r="G29" s="136" t="e">
        <f t="shared" ref="G29:G30" si="9">ROUND(F29/C29*100,2)</f>
        <v>#DIV/0!</v>
      </c>
      <c r="H29" s="199" t="e">
        <f t="shared" ref="H29:H30" si="10">ROUND(F29/E29*100,2)</f>
        <v>#DIV/0!</v>
      </c>
    </row>
    <row r="30" spans="1:11" ht="12.75" customHeight="1" x14ac:dyDescent="0.2">
      <c r="A30" s="84"/>
      <c r="B30" s="82" t="s">
        <v>149</v>
      </c>
      <c r="C30" s="136"/>
      <c r="D30" s="136">
        <f>'rashodi-programska'!C200</f>
        <v>0</v>
      </c>
      <c r="E30" s="136">
        <f t="shared" si="0"/>
        <v>0</v>
      </c>
      <c r="F30" s="136">
        <f>'rashodi-programska'!E200</f>
        <v>0</v>
      </c>
      <c r="G30" s="136" t="e">
        <f t="shared" si="9"/>
        <v>#DIV/0!</v>
      </c>
      <c r="H30" s="199" t="e">
        <f t="shared" si="10"/>
        <v>#DIV/0!</v>
      </c>
    </row>
    <row r="31" spans="1:11" ht="12.75" customHeight="1" x14ac:dyDescent="0.2">
      <c r="A31" s="162" t="s">
        <v>193</v>
      </c>
      <c r="B31" s="163" t="s">
        <v>152</v>
      </c>
      <c r="C31" s="164"/>
      <c r="D31" s="164"/>
      <c r="E31" s="164"/>
      <c r="F31" s="164"/>
      <c r="G31" s="164"/>
      <c r="H31" s="217"/>
      <c r="K31" s="170"/>
    </row>
    <row r="32" spans="1:11" ht="12.75" customHeight="1" x14ac:dyDescent="0.2">
      <c r="A32" s="81"/>
      <c r="B32" s="82" t="s">
        <v>148</v>
      </c>
      <c r="C32" s="136">
        <f>3387.34+8361.93+1081.56+60+4039.52</f>
        <v>16930.349999999999</v>
      </c>
      <c r="D32" s="136">
        <f>+'prihodi programska'!D48</f>
        <v>16415</v>
      </c>
      <c r="E32" s="136">
        <f>+'prihodi programska'!E48</f>
        <v>23390.79</v>
      </c>
      <c r="F32" s="136">
        <f>+'prihodi programska'!F54+'prihodi programska'!F51</f>
        <v>15780.48</v>
      </c>
      <c r="G32" s="136">
        <f t="shared" ref="G32:G33" si="11">ROUND(F32/C32*100,2)</f>
        <v>93.21</v>
      </c>
      <c r="H32" s="199">
        <f t="shared" ref="H32:H33" si="12">ROUND(F32/E32*100,2)</f>
        <v>67.459999999999994</v>
      </c>
    </row>
    <row r="33" spans="1:8" ht="12.75" customHeight="1" x14ac:dyDescent="0.2">
      <c r="A33" s="84"/>
      <c r="B33" s="82" t="s">
        <v>149</v>
      </c>
      <c r="C33" s="136">
        <f>2889.51+6384.24+1089.7+60+5204.52</f>
        <v>15627.970000000001</v>
      </c>
      <c r="D33" s="136">
        <f>+'rashodi-programska'!C220+'rashodi-programska'!C246+'rashodi-programska'!C259+'rashodi-programska'!C264</f>
        <v>16415</v>
      </c>
      <c r="E33" s="136">
        <f>+'rashodi-programska'!D220+'rashodi-programska'!D259+'rashodi-programska'!D264+'rashodi-programska'!D280</f>
        <v>18124.09</v>
      </c>
      <c r="F33" s="136">
        <f>+'rashodi-programska'!E220+'rashodi-programska'!E259+'rashodi-programska'!E264+'rashodi-programska'!E280</f>
        <v>17969.07</v>
      </c>
      <c r="G33" s="136">
        <f t="shared" si="11"/>
        <v>114.98</v>
      </c>
      <c r="H33" s="199">
        <f t="shared" si="12"/>
        <v>99.14</v>
      </c>
    </row>
    <row r="34" spans="1:8" ht="12.75" customHeight="1" x14ac:dyDescent="0.2">
      <c r="A34" s="162" t="s">
        <v>209</v>
      </c>
      <c r="B34" s="163" t="s">
        <v>150</v>
      </c>
      <c r="C34" s="164"/>
      <c r="D34" s="164"/>
      <c r="E34" s="164"/>
      <c r="F34" s="164"/>
      <c r="G34" s="164"/>
      <c r="H34" s="217"/>
    </row>
    <row r="35" spans="1:8" ht="12.75" customHeight="1" x14ac:dyDescent="0.2">
      <c r="A35" s="81"/>
      <c r="B35" s="82" t="s">
        <v>148</v>
      </c>
      <c r="C35" s="136">
        <v>326.3</v>
      </c>
      <c r="D35" s="136">
        <v>0</v>
      </c>
      <c r="E35" s="136">
        <f t="shared" si="0"/>
        <v>0</v>
      </c>
      <c r="F35" s="136">
        <f>+'prihodi programska'!F55</f>
        <v>5065.67</v>
      </c>
      <c r="G35" s="136">
        <f t="shared" ref="G35:G36" si="13">ROUND(F35/C35*100,2)</f>
        <v>1552.46</v>
      </c>
      <c r="H35" s="199" t="e">
        <f>ROUND(F35/E35*100,2)</f>
        <v>#DIV/0!</v>
      </c>
    </row>
    <row r="36" spans="1:8" ht="12.75" customHeight="1" x14ac:dyDescent="0.2">
      <c r="A36" s="84"/>
      <c r="B36" s="82" t="s">
        <v>149</v>
      </c>
      <c r="C36" s="136">
        <v>326.60000000000002</v>
      </c>
      <c r="D36" s="136">
        <v>0</v>
      </c>
      <c r="E36" s="136">
        <f>+'rashodi-programska'!D209+'rashodi-programska'!D240+'rashodi-programska'!D269</f>
        <v>5266.7</v>
      </c>
      <c r="F36" s="136">
        <f>+'rashodi-programska'!E269+'rashodi-programska'!E209</f>
        <v>5238.26</v>
      </c>
      <c r="G36" s="136">
        <f t="shared" si="13"/>
        <v>1603.88</v>
      </c>
      <c r="H36" s="199">
        <f>ROUND(F36/E36*100,2)</f>
        <v>99.46</v>
      </c>
    </row>
    <row r="37" spans="1:8" s="100" customFormat="1" ht="12.75" customHeight="1" x14ac:dyDescent="0.2">
      <c r="A37" s="165"/>
      <c r="B37" s="167" t="s">
        <v>211</v>
      </c>
      <c r="C37" s="166">
        <f>SUM(C14+C20+C17+C23+C26+C29+C32+C35)</f>
        <v>1078143.78</v>
      </c>
      <c r="D37" s="166">
        <f>SUM(D14+D20+D17+D23+D26+D29+D32+D35)</f>
        <v>1140934.21</v>
      </c>
      <c r="E37" s="166">
        <f>+E14+E17+E20+E23+E26+E29+E32+E35</f>
        <v>1317109.1499999999</v>
      </c>
      <c r="F37" s="166">
        <f>SUM(F14+F20+F17+F23+F26+F29+F32+F35)</f>
        <v>1315130.3699999999</v>
      </c>
      <c r="G37" s="166">
        <f>ROUND(F37/C37*100,2)</f>
        <v>121.98</v>
      </c>
      <c r="H37" s="218">
        <f>ROUND(F37/E37*100,2)</f>
        <v>99.85</v>
      </c>
    </row>
    <row r="38" spans="1:8" s="100" customFormat="1" ht="12.75" customHeight="1" x14ac:dyDescent="0.2">
      <c r="A38" s="165"/>
      <c r="B38" s="167" t="s">
        <v>169</v>
      </c>
      <c r="C38" s="166">
        <f>C15+C18+C21+C24+C27+C30+C33+C36</f>
        <v>1088467.7100000002</v>
      </c>
      <c r="D38" s="166">
        <f>D15+D18+D21+D24+D27+D30+D33+D36</f>
        <v>1149934.21</v>
      </c>
      <c r="E38" s="166">
        <f>+E15+E18+E21+E24+E27+E30+E33+E36</f>
        <v>1326287.1400000001</v>
      </c>
      <c r="F38" s="166">
        <f>F15+F18+F21+F24+F27+F30+F33+F36</f>
        <v>1312749.7900000003</v>
      </c>
      <c r="G38" s="166">
        <f>ROUND(F38/C38*100,2)</f>
        <v>120.61</v>
      </c>
      <c r="H38" s="218">
        <f>ROUND(F38/E38*100,2)</f>
        <v>98.98</v>
      </c>
    </row>
    <row r="39" spans="1:8" ht="21.75" customHeight="1" x14ac:dyDescent="0.2"/>
    <row r="40" spans="1:8" ht="21.75" customHeight="1" x14ac:dyDescent="0.2">
      <c r="H40" s="129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92"/>
  <sheetViews>
    <sheetView zoomScale="160" zoomScaleNormal="160" workbookViewId="0">
      <selection activeCell="D281" sqref="D281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9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57" t="s">
        <v>98</v>
      </c>
      <c r="B1" s="257"/>
      <c r="C1" s="257"/>
      <c r="D1" s="257"/>
      <c r="E1" s="257"/>
      <c r="F1" s="257"/>
    </row>
    <row r="2" spans="1:6" ht="15.6" customHeight="1" x14ac:dyDescent="0.2">
      <c r="A2" s="257" t="str">
        <f>'OPĆI DIO'!A7:J7</f>
        <v>ZA RAZDOBLJE 1.1.- 31.12.2024.</v>
      </c>
      <c r="B2" s="257"/>
      <c r="C2" s="257"/>
      <c r="D2" s="257"/>
      <c r="E2" s="257"/>
      <c r="F2" s="257"/>
    </row>
    <row r="3" spans="1:6" s="21" customFormat="1" ht="15.6" customHeight="1" x14ac:dyDescent="0.2">
      <c r="A3" s="180"/>
      <c r="B3" s="180"/>
      <c r="C3" s="180"/>
      <c r="D3" s="226"/>
      <c r="E3" s="180"/>
      <c r="F3" s="180"/>
    </row>
    <row r="4" spans="1:6" s="21" customFormat="1" ht="13.35" customHeight="1" x14ac:dyDescent="0.2">
      <c r="A4" s="257" t="s">
        <v>195</v>
      </c>
      <c r="B4" s="257"/>
      <c r="C4" s="257"/>
      <c r="D4" s="257"/>
      <c r="E4" s="257"/>
      <c r="F4" s="257"/>
    </row>
    <row r="5" spans="1:6" s="60" customFormat="1" ht="13.35" customHeight="1" x14ac:dyDescent="0.2">
      <c r="A5" s="289" t="s">
        <v>158</v>
      </c>
      <c r="B5" s="289"/>
      <c r="C5" s="289"/>
      <c r="D5" s="289"/>
      <c r="E5" s="289"/>
      <c r="F5" s="289"/>
    </row>
    <row r="6" spans="1:6" s="60" customFormat="1" ht="13.35" customHeight="1" x14ac:dyDescent="0.2">
      <c r="A6" s="289" t="s">
        <v>172</v>
      </c>
      <c r="B6" s="289"/>
      <c r="C6" s="289"/>
      <c r="D6" s="289"/>
      <c r="E6" s="289"/>
      <c r="F6" s="289"/>
    </row>
    <row r="7" spans="1:6" s="21" customFormat="1" ht="13.35" customHeight="1" x14ac:dyDescent="0.2">
      <c r="F7" s="219"/>
    </row>
    <row r="8" spans="1:6" ht="7.15" customHeight="1" x14ac:dyDescent="0.2"/>
    <row r="9" spans="1:6" s="1" customFormat="1" ht="39" customHeight="1" x14ac:dyDescent="0.2">
      <c r="A9" s="61" t="s">
        <v>184</v>
      </c>
      <c r="B9" s="62" t="s">
        <v>154</v>
      </c>
      <c r="C9" s="61" t="s">
        <v>267</v>
      </c>
      <c r="D9" s="61" t="s">
        <v>222</v>
      </c>
      <c r="E9" s="61" t="s">
        <v>235</v>
      </c>
      <c r="F9" s="220" t="s">
        <v>90</v>
      </c>
    </row>
    <row r="10" spans="1:6" s="32" customFormat="1" ht="9" customHeight="1" x14ac:dyDescent="0.2">
      <c r="A10" s="290">
        <v>1</v>
      </c>
      <c r="B10" s="291"/>
      <c r="C10" s="63">
        <v>2</v>
      </c>
      <c r="D10" s="63">
        <v>3</v>
      </c>
      <c r="E10" s="63">
        <v>4</v>
      </c>
      <c r="F10" s="221" t="s">
        <v>259</v>
      </c>
    </row>
    <row r="11" spans="1:6" ht="13.5" customHeight="1" x14ac:dyDescent="0.2">
      <c r="A11" s="285" t="s">
        <v>60</v>
      </c>
      <c r="B11" s="286"/>
      <c r="C11" s="64">
        <f>+C12</f>
        <v>1149934.21</v>
      </c>
      <c r="D11" s="64">
        <f>+D12</f>
        <v>1326287.1400000001</v>
      </c>
      <c r="E11" s="64">
        <f>+E12</f>
        <v>1312749.7900000003</v>
      </c>
      <c r="F11" s="64">
        <f t="shared" ref="F11:F18" si="0">+E11/D11*100</f>
        <v>98.979304737886565</v>
      </c>
    </row>
    <row r="12" spans="1:6" ht="13.5" customHeight="1" x14ac:dyDescent="0.2">
      <c r="A12" s="287" t="s">
        <v>197</v>
      </c>
      <c r="B12" s="288"/>
      <c r="C12" s="15">
        <f t="shared" ref="C12:E14" si="1">C13</f>
        <v>1149934.21</v>
      </c>
      <c r="D12" s="15">
        <f>+D13</f>
        <v>1326287.1400000001</v>
      </c>
      <c r="E12" s="15">
        <f t="shared" si="1"/>
        <v>1312749.7900000003</v>
      </c>
      <c r="F12" s="64">
        <f t="shared" si="0"/>
        <v>98.979304737886565</v>
      </c>
    </row>
    <row r="13" spans="1:6" ht="13.5" customHeight="1" x14ac:dyDescent="0.2">
      <c r="A13" s="283" t="s">
        <v>244</v>
      </c>
      <c r="B13" s="284"/>
      <c r="C13" s="16">
        <f t="shared" si="1"/>
        <v>1149934.21</v>
      </c>
      <c r="D13" s="16">
        <f>+D14</f>
        <v>1326287.1400000001</v>
      </c>
      <c r="E13" s="16">
        <f t="shared" si="1"/>
        <v>1312749.7900000003</v>
      </c>
      <c r="F13" s="16">
        <f t="shared" si="0"/>
        <v>98.979304737886565</v>
      </c>
    </row>
    <row r="14" spans="1:6" ht="13.5" customHeight="1" x14ac:dyDescent="0.2">
      <c r="A14" s="296" t="s">
        <v>61</v>
      </c>
      <c r="B14" s="297"/>
      <c r="C14" s="17">
        <f t="shared" si="1"/>
        <v>1149934.21</v>
      </c>
      <c r="D14" s="17">
        <f>+D15</f>
        <v>1326287.1400000001</v>
      </c>
      <c r="E14" s="17">
        <f t="shared" si="1"/>
        <v>1312749.7900000003</v>
      </c>
      <c r="F14" s="17">
        <f t="shared" si="0"/>
        <v>98.979304737886565</v>
      </c>
    </row>
    <row r="15" spans="1:6" ht="13.5" customHeight="1" x14ac:dyDescent="0.2">
      <c r="A15" s="298" t="s">
        <v>62</v>
      </c>
      <c r="B15" s="299"/>
      <c r="C15" s="18">
        <f>+C16+C73</f>
        <v>1149934.21</v>
      </c>
      <c r="D15" s="18">
        <f>+D16+D73</f>
        <v>1326287.1400000001</v>
      </c>
      <c r="E15" s="18">
        <f>+E16+E73</f>
        <v>1312749.7900000003</v>
      </c>
      <c r="F15" s="17">
        <f t="shared" si="0"/>
        <v>98.979304737886565</v>
      </c>
    </row>
    <row r="16" spans="1:6" ht="13.5" customHeight="1" x14ac:dyDescent="0.2">
      <c r="A16" s="300" t="s">
        <v>196</v>
      </c>
      <c r="B16" s="301"/>
      <c r="C16" s="33">
        <f>+C32</f>
        <v>63069.21</v>
      </c>
      <c r="D16" s="33">
        <f>+D32</f>
        <v>63069.21</v>
      </c>
      <c r="E16" s="33">
        <f>+E32</f>
        <v>59368.4</v>
      </c>
      <c r="F16" s="33">
        <f t="shared" si="0"/>
        <v>94.132144670909952</v>
      </c>
    </row>
    <row r="17" spans="1:8" s="8" customFormat="1" ht="13.5" customHeight="1" x14ac:dyDescent="0.2">
      <c r="A17" s="294" t="s">
        <v>253</v>
      </c>
      <c r="B17" s="295"/>
      <c r="C17" s="52">
        <f>C18+C27</f>
        <v>994400</v>
      </c>
      <c r="D17" s="52">
        <f>+D18+D27</f>
        <v>1160000</v>
      </c>
      <c r="E17" s="52">
        <f>E18+E27</f>
        <v>1158483.7400000002</v>
      </c>
      <c r="F17" s="52">
        <f t="shared" si="0"/>
        <v>99.869287931034506</v>
      </c>
      <c r="H17" s="168"/>
    </row>
    <row r="18" spans="1:8" s="8" customFormat="1" ht="13.5" customHeight="1" x14ac:dyDescent="0.2">
      <c r="A18" s="45">
        <v>31</v>
      </c>
      <c r="B18" s="66" t="s">
        <v>63</v>
      </c>
      <c r="C18" s="51">
        <f>C19+C23+C25</f>
        <v>961000</v>
      </c>
      <c r="D18" s="51">
        <f>+D19+D23+D25</f>
        <v>1134000</v>
      </c>
      <c r="E18" s="51">
        <f>E19+E23+E25</f>
        <v>1131483.5100000002</v>
      </c>
      <c r="F18" s="51">
        <f t="shared" si="0"/>
        <v>99.77808730158732</v>
      </c>
    </row>
    <row r="19" spans="1:8" s="8" customFormat="1" ht="13.5" customHeight="1" x14ac:dyDescent="0.2">
      <c r="A19" s="45">
        <v>311</v>
      </c>
      <c r="B19" s="66" t="s">
        <v>101</v>
      </c>
      <c r="C19" s="51">
        <f>SUM(C20:C22)</f>
        <v>796000</v>
      </c>
      <c r="D19" s="51">
        <f>+D20+D21+D22</f>
        <v>932000</v>
      </c>
      <c r="E19" s="51">
        <f>SUM(E20:E22)</f>
        <v>932155.82000000007</v>
      </c>
      <c r="F19" s="51">
        <f t="shared" ref="F19:F31" si="2">+E19/D19*100</f>
        <v>100.01671888412018</v>
      </c>
    </row>
    <row r="20" spans="1:8" s="9" customFormat="1" ht="13.5" customHeight="1" x14ac:dyDescent="0.2">
      <c r="A20" s="10">
        <v>3111</v>
      </c>
      <c r="B20" s="68" t="s">
        <v>102</v>
      </c>
      <c r="C20" s="53">
        <v>765000</v>
      </c>
      <c r="D20" s="53">
        <v>900000</v>
      </c>
      <c r="E20" s="53">
        <f>429636.28+471110.28</f>
        <v>900746.56</v>
      </c>
      <c r="F20" s="51">
        <f t="shared" si="2"/>
        <v>100.08295111111111</v>
      </c>
    </row>
    <row r="21" spans="1:8" s="9" customFormat="1" ht="13.5" customHeight="1" x14ac:dyDescent="0.2">
      <c r="A21" s="10">
        <v>3113</v>
      </c>
      <c r="B21" s="68" t="s">
        <v>65</v>
      </c>
      <c r="C21" s="53">
        <v>20000</v>
      </c>
      <c r="D21" s="53">
        <f t="shared" ref="D21:D75" si="3">SUM(C21)</f>
        <v>20000</v>
      </c>
      <c r="E21" s="53">
        <f>13347.02+5985.79</f>
        <v>19332.810000000001</v>
      </c>
      <c r="F21" s="51">
        <f t="shared" si="2"/>
        <v>96.664050000000003</v>
      </c>
    </row>
    <row r="22" spans="1:8" s="9" customFormat="1" ht="13.5" customHeight="1" x14ac:dyDescent="0.2">
      <c r="A22" s="10">
        <v>3114</v>
      </c>
      <c r="B22" s="68" t="s">
        <v>179</v>
      </c>
      <c r="C22" s="53">
        <v>11000</v>
      </c>
      <c r="D22" s="53">
        <v>12000</v>
      </c>
      <c r="E22" s="53">
        <f>6799.22+5277.23</f>
        <v>12076.45</v>
      </c>
      <c r="F22" s="51">
        <f t="shared" si="2"/>
        <v>100.63708333333335</v>
      </c>
    </row>
    <row r="23" spans="1:8" s="8" customFormat="1" ht="13.5" customHeight="1" x14ac:dyDescent="0.2">
      <c r="A23" s="45">
        <v>312</v>
      </c>
      <c r="B23" s="66" t="s">
        <v>74</v>
      </c>
      <c r="C23" s="51">
        <f>C24</f>
        <v>34000</v>
      </c>
      <c r="D23" s="51">
        <f>+D24</f>
        <v>48000</v>
      </c>
      <c r="E23" s="51">
        <f>E24</f>
        <v>45521.919999999998</v>
      </c>
      <c r="F23" s="51">
        <f t="shared" si="2"/>
        <v>94.837333333333333</v>
      </c>
    </row>
    <row r="24" spans="1:8" s="9" customFormat="1" ht="13.5" customHeight="1" x14ac:dyDescent="0.2">
      <c r="A24" s="10">
        <v>3121</v>
      </c>
      <c r="B24" s="66" t="s">
        <v>74</v>
      </c>
      <c r="C24" s="53">
        <v>34000</v>
      </c>
      <c r="D24" s="53">
        <v>48000</v>
      </c>
      <c r="E24" s="53">
        <f>20260.6+25261.32</f>
        <v>45521.919999999998</v>
      </c>
      <c r="F24" s="51">
        <f t="shared" si="2"/>
        <v>94.837333333333333</v>
      </c>
    </row>
    <row r="25" spans="1:8" s="8" customFormat="1" ht="13.5" customHeight="1" x14ac:dyDescent="0.2">
      <c r="A25" s="45">
        <v>313</v>
      </c>
      <c r="B25" s="66" t="s">
        <v>103</v>
      </c>
      <c r="C25" s="51">
        <f>C26</f>
        <v>131000</v>
      </c>
      <c r="D25" s="51">
        <f>+D26</f>
        <v>154000</v>
      </c>
      <c r="E25" s="51">
        <f>E26</f>
        <v>153805.77000000002</v>
      </c>
      <c r="F25" s="51">
        <f t="shared" si="2"/>
        <v>99.873876623376631</v>
      </c>
    </row>
    <row r="26" spans="1:8" s="9" customFormat="1" ht="13.5" customHeight="1" x14ac:dyDescent="0.2">
      <c r="A26" s="10">
        <v>3132</v>
      </c>
      <c r="B26" s="68" t="s">
        <v>104</v>
      </c>
      <c r="C26" s="53">
        <v>131000</v>
      </c>
      <c r="D26" s="53">
        <v>154000</v>
      </c>
      <c r="E26" s="53">
        <f>74214.16+79591.61</f>
        <v>153805.77000000002</v>
      </c>
      <c r="F26" s="51">
        <f t="shared" si="2"/>
        <v>99.873876623376631</v>
      </c>
    </row>
    <row r="27" spans="1:8" s="8" customFormat="1" ht="13.5" customHeight="1" x14ac:dyDescent="0.2">
      <c r="A27" s="45">
        <v>32</v>
      </c>
      <c r="B27" s="66" t="s">
        <v>58</v>
      </c>
      <c r="C27" s="51">
        <f>C28+C30</f>
        <v>33400</v>
      </c>
      <c r="D27" s="51">
        <f>+D28+D30</f>
        <v>26000</v>
      </c>
      <c r="E27" s="51">
        <f>E28+E30</f>
        <v>27000.23</v>
      </c>
      <c r="F27" s="51">
        <f t="shared" si="2"/>
        <v>103.84703846153846</v>
      </c>
    </row>
    <row r="28" spans="1:8" s="8" customFormat="1" ht="13.5" customHeight="1" x14ac:dyDescent="0.2">
      <c r="A28" s="45">
        <v>321</v>
      </c>
      <c r="B28" s="66" t="s">
        <v>105</v>
      </c>
      <c r="C28" s="51">
        <f>C29</f>
        <v>30000</v>
      </c>
      <c r="D28" s="51">
        <f>+D29</f>
        <v>22360</v>
      </c>
      <c r="E28" s="51">
        <f>E29</f>
        <v>23360.23</v>
      </c>
      <c r="F28" s="51">
        <f t="shared" si="2"/>
        <v>104.47330053667262</v>
      </c>
    </row>
    <row r="29" spans="1:8" s="8" customFormat="1" ht="13.5" customHeight="1" x14ac:dyDescent="0.2">
      <c r="A29" s="10">
        <v>3212</v>
      </c>
      <c r="B29" s="68" t="s">
        <v>4</v>
      </c>
      <c r="C29" s="53">
        <v>30000</v>
      </c>
      <c r="D29" s="53">
        <v>22360</v>
      </c>
      <c r="E29" s="53">
        <f>12916.47+10443.76</f>
        <v>23360.23</v>
      </c>
      <c r="F29" s="51">
        <f t="shared" si="2"/>
        <v>104.47330053667262</v>
      </c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3400</v>
      </c>
      <c r="D30" s="51">
        <f>+D31</f>
        <v>3640</v>
      </c>
      <c r="E30" s="51">
        <f>E31</f>
        <v>3640</v>
      </c>
      <c r="F30" s="51">
        <f t="shared" si="2"/>
        <v>100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3400</v>
      </c>
      <c r="D31" s="53">
        <v>3640</v>
      </c>
      <c r="E31" s="53">
        <f>1960+1680</f>
        <v>3640</v>
      </c>
      <c r="F31" s="51">
        <f t="shared" si="2"/>
        <v>100</v>
      </c>
    </row>
    <row r="32" spans="1:8" s="21" customFormat="1" ht="25.5" customHeight="1" x14ac:dyDescent="0.2">
      <c r="A32" s="304" t="s">
        <v>198</v>
      </c>
      <c r="B32" s="305"/>
      <c r="C32" s="58">
        <f>C33</f>
        <v>63069.21</v>
      </c>
      <c r="D32" s="58">
        <f t="shared" si="3"/>
        <v>63069.21</v>
      </c>
      <c r="E32" s="58">
        <f>E33</f>
        <v>59368.4</v>
      </c>
      <c r="F32" s="33">
        <f>+E32/D32*100</f>
        <v>94.132144670909952</v>
      </c>
    </row>
    <row r="33" spans="1:6" ht="13.5" customHeight="1" x14ac:dyDescent="0.2">
      <c r="A33" s="302" t="s">
        <v>246</v>
      </c>
      <c r="B33" s="303"/>
      <c r="C33" s="19">
        <f>C34+C37+C68</f>
        <v>63069.21</v>
      </c>
      <c r="D33" s="19">
        <f>+D34+D37+D68</f>
        <v>63069.21</v>
      </c>
      <c r="E33" s="19">
        <f>E34+E37+E68</f>
        <v>59368.4</v>
      </c>
      <c r="F33" s="52">
        <f>+E33/D33*100</f>
        <v>94.132144670909952</v>
      </c>
    </row>
    <row r="34" spans="1:6" s="8" customFormat="1" ht="13.5" customHeight="1" x14ac:dyDescent="0.2">
      <c r="A34" s="45">
        <v>31</v>
      </c>
      <c r="B34" s="66" t="s">
        <v>63</v>
      </c>
      <c r="C34" s="35">
        <f>C35</f>
        <v>530.89</v>
      </c>
      <c r="D34" s="35">
        <f>+D35</f>
        <v>530.9</v>
      </c>
      <c r="E34" s="35">
        <f>E35</f>
        <v>530.9</v>
      </c>
      <c r="F34" s="51">
        <f t="shared" ref="F34:F72" si="4">+E34/D34*100</f>
        <v>100</v>
      </c>
    </row>
    <row r="35" spans="1:6" s="8" customFormat="1" ht="13.5" customHeight="1" x14ac:dyDescent="0.2">
      <c r="A35" s="45">
        <v>312</v>
      </c>
      <c r="B35" s="66" t="s">
        <v>74</v>
      </c>
      <c r="C35" s="35">
        <f>C36</f>
        <v>530.89</v>
      </c>
      <c r="D35" s="35">
        <f>+D36</f>
        <v>530.9</v>
      </c>
      <c r="E35" s="35">
        <f>E36</f>
        <v>530.9</v>
      </c>
      <c r="F35" s="51">
        <f t="shared" si="4"/>
        <v>100</v>
      </c>
    </row>
    <row r="36" spans="1:6" s="9" customFormat="1" ht="13.5" customHeight="1" x14ac:dyDescent="0.2">
      <c r="A36" s="10">
        <v>3121</v>
      </c>
      <c r="B36" s="68" t="s">
        <v>74</v>
      </c>
      <c r="C36" s="20">
        <v>530.89</v>
      </c>
      <c r="D36" s="20">
        <v>530.9</v>
      </c>
      <c r="E36" s="20">
        <v>530.9</v>
      </c>
      <c r="F36" s="51">
        <f t="shared" si="4"/>
        <v>100</v>
      </c>
    </row>
    <row r="37" spans="1:6" s="3" customFormat="1" ht="13.5" customHeight="1" x14ac:dyDescent="0.2">
      <c r="A37" s="34">
        <v>32</v>
      </c>
      <c r="B37" s="66" t="s">
        <v>58</v>
      </c>
      <c r="C37" s="51">
        <f>C38+C43+C50+C60+C62</f>
        <v>62471.96</v>
      </c>
      <c r="D37" s="51">
        <f>+D38+D43+D50+D60+D62</f>
        <v>62528.31</v>
      </c>
      <c r="E37" s="35">
        <f>E38+E43+E50+E60+E62</f>
        <v>58833.25</v>
      </c>
      <c r="F37" s="51">
        <f t="shared" si="4"/>
        <v>94.090580730552304</v>
      </c>
    </row>
    <row r="38" spans="1:6" s="3" customFormat="1" ht="13.5" customHeight="1" x14ac:dyDescent="0.2">
      <c r="A38" s="34">
        <v>321</v>
      </c>
      <c r="B38" s="65" t="s">
        <v>105</v>
      </c>
      <c r="C38" s="36">
        <f>SUM(C39:C42)</f>
        <v>4512.58</v>
      </c>
      <c r="D38" s="36">
        <f>+D39+D40+D41+D42</f>
        <v>5100</v>
      </c>
      <c r="E38" s="36">
        <f>SUM(E39:E42)</f>
        <v>5105.3599999999997</v>
      </c>
      <c r="F38" s="51">
        <f t="shared" si="4"/>
        <v>100.10509803921568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3981.68</v>
      </c>
      <c r="D39" s="20">
        <v>4500</v>
      </c>
      <c r="E39" s="20">
        <v>4540.66</v>
      </c>
      <c r="F39" s="51">
        <f t="shared" si="4"/>
        <v>100.90355555555554</v>
      </c>
    </row>
    <row r="40" spans="1:6" s="5" customFormat="1" ht="13.5" customHeight="1" x14ac:dyDescent="0.2">
      <c r="A40" s="4" t="s">
        <v>3</v>
      </c>
      <c r="B40" s="13" t="s">
        <v>4</v>
      </c>
      <c r="C40" s="20"/>
      <c r="D40" s="20">
        <f t="shared" si="3"/>
        <v>0</v>
      </c>
      <c r="E40" s="20"/>
      <c r="F40" s="51" t="e">
        <f t="shared" si="4"/>
        <v>#DIV/0!</v>
      </c>
    </row>
    <row r="41" spans="1:6" s="5" customFormat="1" ht="13.5" customHeight="1" x14ac:dyDescent="0.2">
      <c r="A41" s="4" t="s">
        <v>5</v>
      </c>
      <c r="B41" s="13" t="s">
        <v>6</v>
      </c>
      <c r="C41" s="20">
        <v>265.45</v>
      </c>
      <c r="D41" s="20">
        <v>300</v>
      </c>
      <c r="E41" s="20">
        <v>275</v>
      </c>
      <c r="F41" s="51">
        <f t="shared" si="4"/>
        <v>91.666666666666657</v>
      </c>
    </row>
    <row r="42" spans="1:6" s="5" customFormat="1" ht="13.5" customHeight="1" x14ac:dyDescent="0.2">
      <c r="A42" s="4" t="s">
        <v>7</v>
      </c>
      <c r="B42" s="13" t="s">
        <v>8</v>
      </c>
      <c r="C42" s="20">
        <v>265.45</v>
      </c>
      <c r="D42" s="20">
        <v>300</v>
      </c>
      <c r="E42" s="20">
        <v>289.7</v>
      </c>
      <c r="F42" s="51">
        <f t="shared" si="4"/>
        <v>96.566666666666663</v>
      </c>
    </row>
    <row r="43" spans="1:6" s="37" customFormat="1" ht="13.5" customHeight="1" x14ac:dyDescent="0.2">
      <c r="A43" s="34">
        <v>322</v>
      </c>
      <c r="B43" s="57" t="s">
        <v>106</v>
      </c>
      <c r="C43" s="36">
        <f>SUM(C44:C49)</f>
        <v>44808.54</v>
      </c>
      <c r="D43" s="36">
        <f>+D44+D45+D46+D47+D48+D49</f>
        <v>40144.93</v>
      </c>
      <c r="E43" s="36">
        <f>SUM(E44:E49)</f>
        <v>36917.22</v>
      </c>
      <c r="F43" s="51">
        <f t="shared" si="4"/>
        <v>91.959856450117115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8707.94</v>
      </c>
      <c r="D44" s="20">
        <v>8707.93</v>
      </c>
      <c r="E44" s="20">
        <v>8375.4699999999993</v>
      </c>
      <c r="F44" s="51">
        <f t="shared" si="4"/>
        <v>96.182100682940714</v>
      </c>
    </row>
    <row r="45" spans="1:6" s="5" customFormat="1" ht="13.5" customHeight="1" x14ac:dyDescent="0.2">
      <c r="A45" s="12">
        <v>3222</v>
      </c>
      <c r="B45" s="13" t="s">
        <v>75</v>
      </c>
      <c r="C45" s="20"/>
      <c r="D45" s="20">
        <f t="shared" si="3"/>
        <v>0</v>
      </c>
      <c r="E45" s="20"/>
      <c r="F45" s="51" t="e">
        <f t="shared" si="4"/>
        <v>#DIV/0!</v>
      </c>
    </row>
    <row r="46" spans="1:6" s="5" customFormat="1" ht="13.5" customHeight="1" x14ac:dyDescent="0.2">
      <c r="A46" s="4" t="s">
        <v>11</v>
      </c>
      <c r="B46" s="13" t="s">
        <v>12</v>
      </c>
      <c r="C46" s="20">
        <v>34507.93</v>
      </c>
      <c r="D46" s="20">
        <v>30770.86</v>
      </c>
      <c r="E46" s="20">
        <v>27875.61</v>
      </c>
      <c r="F46" s="51">
        <f t="shared" si="4"/>
        <v>90.590935709954152</v>
      </c>
    </row>
    <row r="47" spans="1:6" s="5" customFormat="1" ht="13.5" customHeight="1" x14ac:dyDescent="0.2">
      <c r="A47" s="4" t="s">
        <v>13</v>
      </c>
      <c r="B47" s="38" t="s">
        <v>14</v>
      </c>
      <c r="C47" s="20"/>
      <c r="D47" s="20">
        <f t="shared" si="3"/>
        <v>0</v>
      </c>
      <c r="E47" s="20"/>
      <c r="F47" s="51" t="e">
        <f t="shared" si="4"/>
        <v>#DIV/0!</v>
      </c>
    </row>
    <row r="48" spans="1:6" s="5" customFormat="1" ht="13.5" customHeight="1" x14ac:dyDescent="0.2">
      <c r="A48" s="4" t="s">
        <v>15</v>
      </c>
      <c r="B48" s="13" t="s">
        <v>16</v>
      </c>
      <c r="C48" s="20">
        <v>1061.78</v>
      </c>
      <c r="D48" s="20">
        <v>112.56</v>
      </c>
      <c r="E48" s="20">
        <v>112.56</v>
      </c>
      <c r="F48" s="51">
        <f t="shared" si="4"/>
        <v>100</v>
      </c>
    </row>
    <row r="49" spans="1:8" s="5" customFormat="1" ht="13.5" customHeight="1" x14ac:dyDescent="0.2">
      <c r="A49" s="12">
        <v>3227</v>
      </c>
      <c r="B49" s="13" t="s">
        <v>162</v>
      </c>
      <c r="C49" s="20">
        <v>530.89</v>
      </c>
      <c r="D49" s="20">
        <v>553.58000000000004</v>
      </c>
      <c r="E49" s="20">
        <v>553.58000000000004</v>
      </c>
      <c r="F49" s="51">
        <f t="shared" si="4"/>
        <v>100</v>
      </c>
    </row>
    <row r="50" spans="1:8" s="37" customFormat="1" ht="13.5" customHeight="1" x14ac:dyDescent="0.2">
      <c r="A50" s="34">
        <v>323</v>
      </c>
      <c r="B50" s="57" t="s">
        <v>107</v>
      </c>
      <c r="C50" s="36">
        <f>SUM(C51:C59)</f>
        <v>9887.85</v>
      </c>
      <c r="D50" s="36">
        <f>SUM(D51:D59)</f>
        <v>13048.630000000001</v>
      </c>
      <c r="E50" s="36">
        <f>SUM(E51:E59)</f>
        <v>12824.65</v>
      </c>
      <c r="F50" s="51">
        <f t="shared" si="4"/>
        <v>98.283497961088628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1327.23</v>
      </c>
      <c r="D51" s="20">
        <v>1300</v>
      </c>
      <c r="E51" s="20">
        <v>1249.46</v>
      </c>
      <c r="F51" s="51">
        <f t="shared" si="4"/>
        <v>96.112307692307695</v>
      </c>
    </row>
    <row r="52" spans="1:8" s="5" customFormat="1" ht="13.5" customHeight="1" x14ac:dyDescent="0.2">
      <c r="A52" s="4" t="s">
        <v>19</v>
      </c>
      <c r="B52" s="13" t="s">
        <v>20</v>
      </c>
      <c r="C52" s="20"/>
      <c r="D52" s="20">
        <f t="shared" si="3"/>
        <v>0</v>
      </c>
      <c r="E52" s="20"/>
      <c r="F52" s="51" t="e">
        <f t="shared" si="4"/>
        <v>#DIV/0!</v>
      </c>
    </row>
    <row r="53" spans="1:8" s="5" customFormat="1" ht="13.5" customHeight="1" x14ac:dyDescent="0.2">
      <c r="A53" s="4" t="s">
        <v>21</v>
      </c>
      <c r="B53" s="13" t="s">
        <v>22</v>
      </c>
      <c r="C53" s="20">
        <v>132.72</v>
      </c>
      <c r="D53" s="20">
        <v>763.72</v>
      </c>
      <c r="E53" s="20">
        <v>753.72</v>
      </c>
      <c r="F53" s="51">
        <f t="shared" si="4"/>
        <v>98.690619598805839</v>
      </c>
    </row>
    <row r="54" spans="1:8" s="5" customFormat="1" ht="13.5" customHeight="1" x14ac:dyDescent="0.2">
      <c r="A54" s="4" t="s">
        <v>23</v>
      </c>
      <c r="B54" s="13" t="s">
        <v>24</v>
      </c>
      <c r="C54" s="20">
        <v>4512.58</v>
      </c>
      <c r="D54" s="20">
        <v>4700</v>
      </c>
      <c r="E54" s="20">
        <v>4788.28</v>
      </c>
      <c r="F54" s="51">
        <f t="shared" si="4"/>
        <v>101.87829787234041</v>
      </c>
    </row>
    <row r="55" spans="1:8" s="5" customFormat="1" ht="13.5" customHeight="1" x14ac:dyDescent="0.2">
      <c r="A55" s="12">
        <v>3235</v>
      </c>
      <c r="B55" s="13" t="s">
        <v>76</v>
      </c>
      <c r="C55" s="20">
        <v>265.45</v>
      </c>
      <c r="D55" s="20">
        <v>298.13</v>
      </c>
      <c r="E55" s="20">
        <v>298.13</v>
      </c>
      <c r="F55" s="51">
        <f t="shared" si="4"/>
        <v>100</v>
      </c>
    </row>
    <row r="56" spans="1:8" s="5" customFormat="1" ht="13.5" customHeight="1" x14ac:dyDescent="0.2">
      <c r="A56" s="4" t="s">
        <v>25</v>
      </c>
      <c r="B56" s="13" t="s">
        <v>26</v>
      </c>
      <c r="C56" s="20">
        <v>1459.95</v>
      </c>
      <c r="D56" s="20">
        <v>3500</v>
      </c>
      <c r="E56" s="20">
        <v>3401.24</v>
      </c>
      <c r="F56" s="51">
        <f t="shared" si="4"/>
        <v>97.178285714285707</v>
      </c>
    </row>
    <row r="57" spans="1:8" s="5" customFormat="1" ht="13.5" customHeight="1" x14ac:dyDescent="0.2">
      <c r="A57" s="4" t="s">
        <v>27</v>
      </c>
      <c r="B57" s="13" t="s">
        <v>28</v>
      </c>
      <c r="C57" s="20">
        <v>132.72</v>
      </c>
      <c r="D57" s="20">
        <v>125</v>
      </c>
      <c r="E57" s="20">
        <v>125</v>
      </c>
      <c r="F57" s="51">
        <f t="shared" si="4"/>
        <v>100</v>
      </c>
    </row>
    <row r="58" spans="1:8" s="5" customFormat="1" ht="13.5" customHeight="1" x14ac:dyDescent="0.2">
      <c r="A58" s="4" t="s">
        <v>29</v>
      </c>
      <c r="B58" s="13" t="s">
        <v>30</v>
      </c>
      <c r="C58" s="20">
        <v>995.42</v>
      </c>
      <c r="D58" s="20">
        <v>1300</v>
      </c>
      <c r="E58" s="20">
        <v>1264.69</v>
      </c>
      <c r="F58" s="51">
        <f t="shared" si="4"/>
        <v>97.283846153846156</v>
      </c>
    </row>
    <row r="59" spans="1:8" s="5" customFormat="1" ht="13.5" customHeight="1" x14ac:dyDescent="0.2">
      <c r="A59" s="4" t="s">
        <v>31</v>
      </c>
      <c r="B59" s="13" t="s">
        <v>32</v>
      </c>
      <c r="C59" s="20">
        <v>1061.78</v>
      </c>
      <c r="D59" s="20">
        <f t="shared" si="3"/>
        <v>1061.78</v>
      </c>
      <c r="E59" s="20">
        <v>944.13</v>
      </c>
      <c r="F59" s="51">
        <f t="shared" si="4"/>
        <v>88.919550189304758</v>
      </c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si="3"/>
        <v>0</v>
      </c>
      <c r="E60" s="55">
        <v>0</v>
      </c>
      <c r="F60" s="51" t="e">
        <f t="shared" si="4"/>
        <v>#DIV/0!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/>
      <c r="D61" s="20">
        <f t="shared" si="3"/>
        <v>0</v>
      </c>
      <c r="E61" s="20"/>
      <c r="F61" s="51" t="e">
        <f t="shared" si="4"/>
        <v>#DIV/0!</v>
      </c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3262.99</v>
      </c>
      <c r="D62" s="36">
        <f>SUM(D63:D67)</f>
        <v>4234.75</v>
      </c>
      <c r="E62" s="36">
        <f>SUM(E63:E67)</f>
        <v>3986.02</v>
      </c>
      <c r="F62" s="51">
        <f t="shared" si="4"/>
        <v>94.126453745793725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331.81</v>
      </c>
      <c r="D63" s="20">
        <v>0</v>
      </c>
      <c r="E63" s="20"/>
      <c r="F63" s="51" t="e">
        <f t="shared" si="4"/>
        <v>#DIV/0!</v>
      </c>
    </row>
    <row r="64" spans="1:8" s="5" customFormat="1" ht="13.5" customHeight="1" x14ac:dyDescent="0.2">
      <c r="A64" s="4" t="s">
        <v>37</v>
      </c>
      <c r="B64" s="13" t="s">
        <v>38</v>
      </c>
      <c r="C64" s="20">
        <v>1327.23</v>
      </c>
      <c r="D64" s="20">
        <v>1776.66</v>
      </c>
      <c r="E64" s="20">
        <v>1805.48</v>
      </c>
      <c r="F64" s="51">
        <f t="shared" si="4"/>
        <v>101.62214492362071</v>
      </c>
    </row>
    <row r="65" spans="1:6" s="5" customFormat="1" ht="13.5" customHeight="1" x14ac:dyDescent="0.2">
      <c r="A65" s="4" t="s">
        <v>39</v>
      </c>
      <c r="B65" s="13" t="s">
        <v>40</v>
      </c>
      <c r="C65" s="20">
        <v>172.54</v>
      </c>
      <c r="D65" s="20">
        <v>188.09</v>
      </c>
      <c r="E65" s="20">
        <v>188.09</v>
      </c>
      <c r="F65" s="51">
        <f t="shared" si="4"/>
        <v>100</v>
      </c>
    </row>
    <row r="66" spans="1:6" s="5" customFormat="1" ht="13.5" customHeight="1" x14ac:dyDescent="0.2">
      <c r="A66" s="4" t="s">
        <v>41</v>
      </c>
      <c r="B66" s="13" t="s">
        <v>42</v>
      </c>
      <c r="C66" s="20">
        <v>66.36</v>
      </c>
      <c r="D66" s="20">
        <v>270</v>
      </c>
      <c r="E66" s="20">
        <v>211.82</v>
      </c>
      <c r="F66" s="51">
        <f t="shared" si="4"/>
        <v>78.451851851851856</v>
      </c>
    </row>
    <row r="67" spans="1:6" s="5" customFormat="1" ht="13.5" customHeight="1" x14ac:dyDescent="0.2">
      <c r="A67" s="4" t="s">
        <v>43</v>
      </c>
      <c r="B67" s="13" t="s">
        <v>44</v>
      </c>
      <c r="C67" s="20">
        <v>1365.05</v>
      </c>
      <c r="D67" s="20">
        <v>2000</v>
      </c>
      <c r="E67" s="20">
        <v>1780.63</v>
      </c>
      <c r="F67" s="51">
        <f t="shared" si="4"/>
        <v>89.031500000000008</v>
      </c>
    </row>
    <row r="68" spans="1:6" s="37" customFormat="1" ht="13.5" customHeight="1" x14ac:dyDescent="0.2">
      <c r="A68" s="34">
        <v>34</v>
      </c>
      <c r="B68" s="70" t="s">
        <v>59</v>
      </c>
      <c r="C68" s="36">
        <f>C69</f>
        <v>66.36</v>
      </c>
      <c r="D68" s="36">
        <f>+D69</f>
        <v>10</v>
      </c>
      <c r="E68" s="36">
        <f>E69</f>
        <v>4.25</v>
      </c>
      <c r="F68" s="51">
        <f t="shared" si="4"/>
        <v>42.5</v>
      </c>
    </row>
    <row r="69" spans="1:6" s="37" customFormat="1" ht="13.5" customHeight="1" x14ac:dyDescent="0.2">
      <c r="A69" s="34">
        <v>343</v>
      </c>
      <c r="B69" s="57" t="s">
        <v>108</v>
      </c>
      <c r="C69" s="36">
        <f>SUM(C70:C72)</f>
        <v>66.36</v>
      </c>
      <c r="D69" s="36">
        <f>+D70+D71+D72</f>
        <v>10</v>
      </c>
      <c r="E69" s="36">
        <f>SUM(E70:E72)</f>
        <v>4.25</v>
      </c>
      <c r="F69" s="51">
        <f t="shared" si="4"/>
        <v>42.5</v>
      </c>
    </row>
    <row r="70" spans="1:6" s="5" customFormat="1" ht="13.5" customHeight="1" x14ac:dyDescent="0.2">
      <c r="A70" s="4" t="s">
        <v>45</v>
      </c>
      <c r="B70" s="13" t="s">
        <v>46</v>
      </c>
      <c r="C70" s="20">
        <v>26.54</v>
      </c>
      <c r="D70" s="20">
        <v>0</v>
      </c>
      <c r="E70" s="20">
        <v>0</v>
      </c>
      <c r="F70" s="51" t="e">
        <f t="shared" si="4"/>
        <v>#DIV/0!</v>
      </c>
    </row>
    <row r="71" spans="1:6" s="5" customFormat="1" ht="13.5" customHeight="1" x14ac:dyDescent="0.2">
      <c r="A71" s="4" t="s">
        <v>47</v>
      </c>
      <c r="B71" s="13" t="s">
        <v>48</v>
      </c>
      <c r="C71" s="20">
        <v>26.54</v>
      </c>
      <c r="D71" s="20">
        <v>10</v>
      </c>
      <c r="E71" s="20">
        <v>4.25</v>
      </c>
      <c r="F71" s="51">
        <f t="shared" si="4"/>
        <v>42.5</v>
      </c>
    </row>
    <row r="72" spans="1:6" s="5" customFormat="1" ht="13.5" customHeight="1" x14ac:dyDescent="0.2">
      <c r="A72" s="12">
        <v>3434</v>
      </c>
      <c r="B72" s="13" t="s">
        <v>66</v>
      </c>
      <c r="C72" s="20">
        <v>13.28</v>
      </c>
      <c r="D72" s="20">
        <v>0</v>
      </c>
      <c r="E72" s="20">
        <v>0</v>
      </c>
      <c r="F72" s="51" t="e">
        <f t="shared" si="4"/>
        <v>#DIV/0!</v>
      </c>
    </row>
    <row r="73" spans="1:6" s="5" customFormat="1" ht="24" customHeight="1" x14ac:dyDescent="0.2">
      <c r="A73" s="306" t="s">
        <v>199</v>
      </c>
      <c r="B73" s="307"/>
      <c r="C73" s="59">
        <f>+C17+C74+C110+C132+C179+C200+C208+C232+C239+C258+C263+C268</f>
        <v>1086865</v>
      </c>
      <c r="D73" s="59">
        <f>+D17+D74+D110+D132+D179+D200+D208+D232+D239+D258+D263+D268</f>
        <v>1263217.9300000002</v>
      </c>
      <c r="E73" s="59">
        <f>+E17+E74+E110+E132+E179+E200+E208+E232+E239+E258+E263+E268</f>
        <v>1253381.3900000004</v>
      </c>
      <c r="F73" s="33">
        <f>+E73/D73*100</f>
        <v>99.221310926136098</v>
      </c>
    </row>
    <row r="74" spans="1:6" s="5" customFormat="1" ht="13.5" customHeight="1" x14ac:dyDescent="0.2">
      <c r="A74" s="292" t="s">
        <v>247</v>
      </c>
      <c r="B74" s="293"/>
      <c r="C74" s="56">
        <f>C75+C82+C100</f>
        <v>9000</v>
      </c>
      <c r="D74" s="56">
        <f>+D75+D82+D100</f>
        <v>10690.21</v>
      </c>
      <c r="E74" s="56">
        <f>E75+E82+E100</f>
        <v>6990.36</v>
      </c>
      <c r="F74" s="52">
        <f>+E74/D74*100</f>
        <v>65.390296355263359</v>
      </c>
    </row>
    <row r="75" spans="1:6" s="3" customFormat="1" ht="13.5" customHeight="1" x14ac:dyDescent="0.2">
      <c r="A75" s="34">
        <v>31</v>
      </c>
      <c r="B75" s="65" t="s">
        <v>63</v>
      </c>
      <c r="C75" s="35">
        <f>C76+C80+C78</f>
        <v>0</v>
      </c>
      <c r="D75" s="35">
        <f t="shared" si="3"/>
        <v>0</v>
      </c>
      <c r="E75" s="35">
        <f>E76+E80+E78</f>
        <v>0</v>
      </c>
      <c r="F75" s="51" t="e">
        <f t="shared" ref="F75:F109" si="5">+E75/D75*100</f>
        <v>#DIV/0!</v>
      </c>
    </row>
    <row r="76" spans="1:6" s="3" customFormat="1" ht="13.5" customHeight="1" x14ac:dyDescent="0.2">
      <c r="A76" s="34">
        <v>311</v>
      </c>
      <c r="B76" s="65" t="s">
        <v>101</v>
      </c>
      <c r="C76" s="36">
        <f>C77</f>
        <v>0</v>
      </c>
      <c r="D76" s="36">
        <f t="shared" ref="D76:D140" si="6">SUM(C76)</f>
        <v>0</v>
      </c>
      <c r="E76" s="36">
        <f>E77</f>
        <v>0</v>
      </c>
      <c r="F76" s="51" t="e">
        <f t="shared" si="5"/>
        <v>#DIV/0!</v>
      </c>
    </row>
    <row r="77" spans="1:6" s="9" customFormat="1" ht="13.5" customHeight="1" x14ac:dyDescent="0.2">
      <c r="A77" s="4" t="s">
        <v>64</v>
      </c>
      <c r="B77" s="13" t="s">
        <v>65</v>
      </c>
      <c r="C77" s="20">
        <v>0</v>
      </c>
      <c r="D77" s="20">
        <f t="shared" si="6"/>
        <v>0</v>
      </c>
      <c r="E77" s="20"/>
      <c r="F77" s="51" t="e">
        <f t="shared" si="5"/>
        <v>#DIV/0!</v>
      </c>
    </row>
    <row r="78" spans="1:6" s="9" customFormat="1" ht="13.5" customHeight="1" x14ac:dyDescent="0.2">
      <c r="A78" s="45">
        <v>312</v>
      </c>
      <c r="B78" s="66" t="s">
        <v>74</v>
      </c>
      <c r="C78" s="35">
        <f>C79</f>
        <v>0</v>
      </c>
      <c r="D78" s="35">
        <f t="shared" si="6"/>
        <v>0</v>
      </c>
      <c r="E78" s="35">
        <f>E79</f>
        <v>0</v>
      </c>
      <c r="F78" s="51" t="e">
        <f t="shared" si="5"/>
        <v>#DIV/0!</v>
      </c>
    </row>
    <row r="79" spans="1:6" s="9" customFormat="1" ht="13.5" customHeight="1" x14ac:dyDescent="0.2">
      <c r="A79" s="10">
        <v>3121</v>
      </c>
      <c r="B79" s="68" t="s">
        <v>74</v>
      </c>
      <c r="C79" s="20"/>
      <c r="D79" s="20">
        <f t="shared" si="6"/>
        <v>0</v>
      </c>
      <c r="E79" s="20"/>
      <c r="F79" s="51" t="e">
        <f t="shared" si="5"/>
        <v>#DIV/0!</v>
      </c>
    </row>
    <row r="80" spans="1:6" s="8" customFormat="1" ht="13.5" customHeight="1" x14ac:dyDescent="0.2">
      <c r="A80" s="34">
        <v>313</v>
      </c>
      <c r="B80" s="65" t="s">
        <v>103</v>
      </c>
      <c r="C80" s="36">
        <f>C81</f>
        <v>0</v>
      </c>
      <c r="D80" s="36">
        <f t="shared" si="6"/>
        <v>0</v>
      </c>
      <c r="E80" s="36">
        <f>E81</f>
        <v>0</v>
      </c>
      <c r="F80" s="51" t="e">
        <f t="shared" si="5"/>
        <v>#DIV/0!</v>
      </c>
    </row>
    <row r="81" spans="1:6" s="9" customFormat="1" ht="13.5" customHeight="1" x14ac:dyDescent="0.2">
      <c r="A81" s="12">
        <v>3132</v>
      </c>
      <c r="B81" s="68" t="s">
        <v>104</v>
      </c>
      <c r="C81" s="20">
        <v>0</v>
      </c>
      <c r="D81" s="20">
        <f t="shared" si="6"/>
        <v>0</v>
      </c>
      <c r="E81" s="20"/>
      <c r="F81" s="51" t="e">
        <f t="shared" si="5"/>
        <v>#DIV/0!</v>
      </c>
    </row>
    <row r="82" spans="1:6" s="3" customFormat="1" ht="13.5" customHeight="1" x14ac:dyDescent="0.2">
      <c r="A82" s="34">
        <v>32</v>
      </c>
      <c r="B82" s="65" t="s">
        <v>58</v>
      </c>
      <c r="C82" s="44">
        <f>C83+C86+C91+C97</f>
        <v>6300</v>
      </c>
      <c r="D82" s="44">
        <f>+D83+D86+D91+D97</f>
        <v>9190.2099999999991</v>
      </c>
      <c r="E82" s="44">
        <f>E83+E86+E91+E97</f>
        <v>4990.8099999999995</v>
      </c>
      <c r="F82" s="51">
        <f t="shared" si="5"/>
        <v>54.305723155401232</v>
      </c>
    </row>
    <row r="83" spans="1:6" s="3" customFormat="1" ht="13.5" customHeight="1" x14ac:dyDescent="0.2">
      <c r="A83" s="34">
        <v>321</v>
      </c>
      <c r="B83" s="65" t="s">
        <v>105</v>
      </c>
      <c r="C83" s="35">
        <f>SUM(C84:C85)</f>
        <v>600</v>
      </c>
      <c r="D83" s="35">
        <f>+D84+D85</f>
        <v>800</v>
      </c>
      <c r="E83" s="35">
        <f>SUM(E84:E85)</f>
        <v>0</v>
      </c>
      <c r="F83" s="51">
        <f t="shared" si="5"/>
        <v>0</v>
      </c>
    </row>
    <row r="84" spans="1:6" s="6" customFormat="1" ht="13.5" customHeight="1" x14ac:dyDescent="0.2">
      <c r="A84" s="4" t="s">
        <v>1</v>
      </c>
      <c r="B84" s="13" t="s">
        <v>2</v>
      </c>
      <c r="C84" s="20">
        <v>600</v>
      </c>
      <c r="D84" s="20">
        <f t="shared" si="6"/>
        <v>600</v>
      </c>
      <c r="E84" s="20"/>
      <c r="F84" s="51">
        <f t="shared" si="5"/>
        <v>0</v>
      </c>
    </row>
    <row r="85" spans="1:6" s="6" customFormat="1" ht="13.5" customHeight="1" x14ac:dyDescent="0.2">
      <c r="A85" s="12">
        <v>3213</v>
      </c>
      <c r="B85" s="13" t="s">
        <v>6</v>
      </c>
      <c r="C85" s="20"/>
      <c r="D85" s="20">
        <v>200</v>
      </c>
      <c r="E85" s="20"/>
      <c r="F85" s="51">
        <f t="shared" si="5"/>
        <v>0</v>
      </c>
    </row>
    <row r="86" spans="1:6" s="3" customFormat="1" ht="13.5" customHeight="1" x14ac:dyDescent="0.2">
      <c r="A86" s="34">
        <v>322</v>
      </c>
      <c r="B86" s="57" t="s">
        <v>106</v>
      </c>
      <c r="C86" s="71">
        <f>SUM(C87:C90)</f>
        <v>2700</v>
      </c>
      <c r="D86" s="71">
        <f>+D87+D88+D89+D90</f>
        <v>900.73</v>
      </c>
      <c r="E86" s="71">
        <f>SUM(E87:E90)</f>
        <v>217.81</v>
      </c>
      <c r="F86" s="51">
        <f t="shared" si="5"/>
        <v>24.181497230024533</v>
      </c>
    </row>
    <row r="87" spans="1:6" s="9" customFormat="1" ht="13.5" customHeight="1" x14ac:dyDescent="0.2">
      <c r="A87" s="4" t="s">
        <v>9</v>
      </c>
      <c r="B87" s="13" t="s">
        <v>10</v>
      </c>
      <c r="C87" s="20">
        <v>1000</v>
      </c>
      <c r="D87" s="20">
        <v>500</v>
      </c>
      <c r="E87" s="20">
        <v>17.079999999999998</v>
      </c>
      <c r="F87" s="51">
        <f t="shared" si="5"/>
        <v>3.4159999999999995</v>
      </c>
    </row>
    <row r="88" spans="1:6" s="9" customFormat="1" ht="13.5" customHeight="1" x14ac:dyDescent="0.2">
      <c r="A88" s="4" t="s">
        <v>11</v>
      </c>
      <c r="B88" s="13" t="s">
        <v>12</v>
      </c>
      <c r="C88" s="20">
        <v>1200</v>
      </c>
      <c r="D88" s="20">
        <v>200.73</v>
      </c>
      <c r="E88" s="20">
        <v>200.73</v>
      </c>
      <c r="F88" s="51">
        <f t="shared" si="5"/>
        <v>100</v>
      </c>
    </row>
    <row r="89" spans="1:6" s="9" customFormat="1" ht="13.5" customHeight="1" x14ac:dyDescent="0.2">
      <c r="A89" s="4" t="s">
        <v>13</v>
      </c>
      <c r="B89" s="13" t="s">
        <v>14</v>
      </c>
      <c r="C89" s="20">
        <v>0</v>
      </c>
      <c r="D89" s="20">
        <f t="shared" si="6"/>
        <v>0</v>
      </c>
      <c r="E89" s="20"/>
      <c r="F89" s="51" t="e">
        <f t="shared" si="5"/>
        <v>#DIV/0!</v>
      </c>
    </row>
    <row r="90" spans="1:6" s="9" customFormat="1" ht="13.5" customHeight="1" x14ac:dyDescent="0.2">
      <c r="A90" s="4" t="s">
        <v>15</v>
      </c>
      <c r="B90" s="13" t="s">
        <v>16</v>
      </c>
      <c r="C90" s="20">
        <v>500</v>
      </c>
      <c r="D90" s="20">
        <v>200</v>
      </c>
      <c r="E90" s="20"/>
      <c r="F90" s="51">
        <f t="shared" si="5"/>
        <v>0</v>
      </c>
    </row>
    <row r="91" spans="1:6" s="8" customFormat="1" ht="13.5" customHeight="1" x14ac:dyDescent="0.2">
      <c r="A91" s="34">
        <v>323</v>
      </c>
      <c r="B91" s="57" t="s">
        <v>107</v>
      </c>
      <c r="C91" s="71">
        <f>SUM(C92:C96)</f>
        <v>1000</v>
      </c>
      <c r="D91" s="71">
        <f>+D92+D93+D94+D95+D96</f>
        <v>4139.7700000000004</v>
      </c>
      <c r="E91" s="71">
        <f>SUM(E92:E96)</f>
        <v>2619.52</v>
      </c>
      <c r="F91" s="51">
        <f t="shared" si="5"/>
        <v>63.276945337542898</v>
      </c>
    </row>
    <row r="92" spans="1:6" s="9" customFormat="1" ht="13.5" customHeight="1" x14ac:dyDescent="0.2">
      <c r="A92" s="12">
        <v>3231</v>
      </c>
      <c r="B92" s="13" t="s">
        <v>18</v>
      </c>
      <c r="C92" s="20"/>
      <c r="D92" s="20">
        <v>2802.02</v>
      </c>
      <c r="E92" s="72">
        <v>1652.02</v>
      </c>
      <c r="F92" s="51">
        <f t="shared" si="5"/>
        <v>58.958180170020199</v>
      </c>
    </row>
    <row r="93" spans="1:6" s="9" customFormat="1" ht="13.5" customHeight="1" x14ac:dyDescent="0.2">
      <c r="A93" s="4" t="s">
        <v>19</v>
      </c>
      <c r="B93" s="13" t="s">
        <v>20</v>
      </c>
      <c r="C93" s="20">
        <v>0</v>
      </c>
      <c r="D93" s="20">
        <f t="shared" si="6"/>
        <v>0</v>
      </c>
      <c r="E93" s="20"/>
      <c r="F93" s="51" t="e">
        <f t="shared" si="5"/>
        <v>#DIV/0!</v>
      </c>
    </row>
    <row r="94" spans="1:6" s="9" customFormat="1" ht="13.5" customHeight="1" x14ac:dyDescent="0.2">
      <c r="A94" s="4" t="s">
        <v>23</v>
      </c>
      <c r="B94" s="13" t="s">
        <v>24</v>
      </c>
      <c r="C94" s="20"/>
      <c r="D94" s="20">
        <f t="shared" si="6"/>
        <v>0</v>
      </c>
      <c r="E94" s="20"/>
      <c r="F94" s="51" t="e">
        <f t="shared" si="5"/>
        <v>#DIV/0!</v>
      </c>
    </row>
    <row r="95" spans="1:6" s="9" customFormat="1" ht="13.5" customHeight="1" x14ac:dyDescent="0.2">
      <c r="A95" s="12">
        <v>3237</v>
      </c>
      <c r="B95" s="13" t="s">
        <v>28</v>
      </c>
      <c r="C95" s="20"/>
      <c r="D95" s="20">
        <f t="shared" si="6"/>
        <v>0</v>
      </c>
      <c r="E95" s="20"/>
      <c r="F95" s="51" t="e">
        <f t="shared" si="5"/>
        <v>#DIV/0!</v>
      </c>
    </row>
    <row r="96" spans="1:6" s="9" customFormat="1" ht="13.5" customHeight="1" x14ac:dyDescent="0.2">
      <c r="A96" s="4" t="s">
        <v>31</v>
      </c>
      <c r="B96" s="13" t="s">
        <v>32</v>
      </c>
      <c r="C96" s="20">
        <v>1000</v>
      </c>
      <c r="D96" s="20">
        <v>1337.75</v>
      </c>
      <c r="E96" s="20">
        <v>967.5</v>
      </c>
      <c r="F96" s="51">
        <f t="shared" si="5"/>
        <v>72.322930293403104</v>
      </c>
    </row>
    <row r="97" spans="1:6" s="8" customFormat="1" ht="13.5" customHeight="1" x14ac:dyDescent="0.2">
      <c r="A97" s="34">
        <v>329</v>
      </c>
      <c r="B97" s="57" t="s">
        <v>44</v>
      </c>
      <c r="C97" s="71">
        <f>SUM(C98:C99)</f>
        <v>2000</v>
      </c>
      <c r="D97" s="71">
        <f>+D98+D99</f>
        <v>3349.71</v>
      </c>
      <c r="E97" s="71">
        <f>SUM(E98:E99)</f>
        <v>2153.48</v>
      </c>
      <c r="F97" s="51">
        <f t="shared" si="5"/>
        <v>64.288550352120026</v>
      </c>
    </row>
    <row r="98" spans="1:6" s="9" customFormat="1" ht="13.5" customHeight="1" x14ac:dyDescent="0.2">
      <c r="A98" s="4" t="s">
        <v>37</v>
      </c>
      <c r="B98" s="38" t="s">
        <v>38</v>
      </c>
      <c r="C98" s="20"/>
      <c r="D98" s="20">
        <v>500</v>
      </c>
      <c r="E98" s="20">
        <v>595</v>
      </c>
      <c r="F98" s="51">
        <f t="shared" si="5"/>
        <v>119</v>
      </c>
    </row>
    <row r="99" spans="1:6" s="9" customFormat="1" ht="13.5" customHeight="1" x14ac:dyDescent="0.2">
      <c r="A99" s="4" t="s">
        <v>43</v>
      </c>
      <c r="B99" s="13" t="s">
        <v>44</v>
      </c>
      <c r="C99" s="20">
        <v>2000</v>
      </c>
      <c r="D99" s="20">
        <v>2849.71</v>
      </c>
      <c r="E99" s="20">
        <v>1558.48</v>
      </c>
      <c r="F99" s="51">
        <f t="shared" si="5"/>
        <v>54.689073625035533</v>
      </c>
    </row>
    <row r="100" spans="1:6" s="37" customFormat="1" ht="13.5" customHeight="1" x14ac:dyDescent="0.2">
      <c r="A100" s="34">
        <v>42</v>
      </c>
      <c r="B100" s="70" t="s">
        <v>109</v>
      </c>
      <c r="C100" s="36">
        <f>C101+C108</f>
        <v>2700</v>
      </c>
      <c r="D100" s="36">
        <f>+D101</f>
        <v>1500</v>
      </c>
      <c r="E100" s="36">
        <f>E101+E108</f>
        <v>1999.55</v>
      </c>
      <c r="F100" s="51">
        <f t="shared" si="5"/>
        <v>133.30333333333334</v>
      </c>
    </row>
    <row r="101" spans="1:6" s="37" customFormat="1" ht="13.5" customHeight="1" x14ac:dyDescent="0.2">
      <c r="A101" s="34">
        <v>422</v>
      </c>
      <c r="B101" s="57" t="s">
        <v>110</v>
      </c>
      <c r="C101" s="71">
        <f>SUM(C102:C107)</f>
        <v>2000</v>
      </c>
      <c r="D101" s="71">
        <f>+D102</f>
        <v>1500</v>
      </c>
      <c r="E101" s="71">
        <f>SUM(E102:E106)</f>
        <v>1995</v>
      </c>
      <c r="F101" s="51">
        <f t="shared" si="5"/>
        <v>133</v>
      </c>
    </row>
    <row r="102" spans="1:6" s="9" customFormat="1" ht="13.5" customHeight="1" x14ac:dyDescent="0.2">
      <c r="A102" s="39" t="s">
        <v>67</v>
      </c>
      <c r="B102" s="13" t="s">
        <v>68</v>
      </c>
      <c r="C102" s="20">
        <v>2000</v>
      </c>
      <c r="D102" s="20">
        <v>1500</v>
      </c>
      <c r="E102" s="20">
        <v>1995</v>
      </c>
      <c r="F102" s="51">
        <f t="shared" si="5"/>
        <v>133</v>
      </c>
    </row>
    <row r="103" spans="1:6" s="9" customFormat="1" ht="13.5" customHeight="1" x14ac:dyDescent="0.2">
      <c r="A103" s="39">
        <v>4222</v>
      </c>
      <c r="B103" s="13" t="s">
        <v>86</v>
      </c>
      <c r="C103" s="20"/>
      <c r="D103" s="20">
        <f t="shared" si="6"/>
        <v>0</v>
      </c>
      <c r="E103" s="20"/>
      <c r="F103" s="51" t="e">
        <f t="shared" si="5"/>
        <v>#DIV/0!</v>
      </c>
    </row>
    <row r="104" spans="1:6" s="9" customFormat="1" ht="13.5" customHeight="1" x14ac:dyDescent="0.2">
      <c r="A104" s="39">
        <v>4223</v>
      </c>
      <c r="B104" s="13" t="s">
        <v>87</v>
      </c>
      <c r="C104" s="20">
        <v>0</v>
      </c>
      <c r="D104" s="20">
        <f t="shared" si="6"/>
        <v>0</v>
      </c>
      <c r="E104" s="20"/>
      <c r="F104" s="51" t="e">
        <f t="shared" si="5"/>
        <v>#DIV/0!</v>
      </c>
    </row>
    <row r="105" spans="1:6" s="9" customFormat="1" ht="13.5" customHeight="1" x14ac:dyDescent="0.2">
      <c r="A105" s="39">
        <v>4225</v>
      </c>
      <c r="B105" s="13" t="s">
        <v>73</v>
      </c>
      <c r="C105" s="20"/>
      <c r="D105" s="20">
        <f t="shared" si="6"/>
        <v>0</v>
      </c>
      <c r="E105" s="20"/>
      <c r="F105" s="51" t="e">
        <f t="shared" si="5"/>
        <v>#DIV/0!</v>
      </c>
    </row>
    <row r="106" spans="1:6" s="9" customFormat="1" ht="13.5" customHeight="1" x14ac:dyDescent="0.2">
      <c r="A106" s="39">
        <v>4226</v>
      </c>
      <c r="B106" s="13" t="s">
        <v>88</v>
      </c>
      <c r="C106" s="20">
        <v>0</v>
      </c>
      <c r="D106" s="20">
        <f t="shared" si="6"/>
        <v>0</v>
      </c>
      <c r="E106" s="20"/>
      <c r="F106" s="51" t="e">
        <f t="shared" si="5"/>
        <v>#DIV/0!</v>
      </c>
    </row>
    <row r="107" spans="1:6" s="9" customFormat="1" ht="13.5" customHeight="1" x14ac:dyDescent="0.2">
      <c r="A107" s="39">
        <v>4227</v>
      </c>
      <c r="B107" s="13" t="s">
        <v>78</v>
      </c>
      <c r="C107" s="20">
        <v>0</v>
      </c>
      <c r="D107" s="20">
        <f t="shared" si="6"/>
        <v>0</v>
      </c>
      <c r="E107" s="20"/>
      <c r="F107" s="51" t="e">
        <f t="shared" si="5"/>
        <v>#DIV/0!</v>
      </c>
    </row>
    <row r="108" spans="1:6" s="37" customFormat="1" ht="13.5" customHeight="1" x14ac:dyDescent="0.2">
      <c r="A108" s="34">
        <v>424</v>
      </c>
      <c r="B108" s="57" t="s">
        <v>111</v>
      </c>
      <c r="C108" s="71">
        <f>SUM(C109)</f>
        <v>700</v>
      </c>
      <c r="D108" s="71">
        <f>+D109</f>
        <v>0</v>
      </c>
      <c r="E108" s="71">
        <f>SUM(E109)</f>
        <v>4.55</v>
      </c>
      <c r="F108" s="51" t="e">
        <f t="shared" si="5"/>
        <v>#DIV/0!</v>
      </c>
    </row>
    <row r="109" spans="1:6" s="9" customFormat="1" ht="13.5" customHeight="1" x14ac:dyDescent="0.2">
      <c r="A109" s="4" t="s">
        <v>69</v>
      </c>
      <c r="B109" s="13" t="s">
        <v>70</v>
      </c>
      <c r="C109" s="20">
        <v>700</v>
      </c>
      <c r="D109" s="20">
        <v>0</v>
      </c>
      <c r="E109" s="20">
        <v>4.55</v>
      </c>
      <c r="F109" s="51" t="e">
        <f t="shared" si="5"/>
        <v>#DIV/0!</v>
      </c>
    </row>
    <row r="110" spans="1:6" s="5" customFormat="1" ht="13.5" customHeight="1" x14ac:dyDescent="0.2">
      <c r="A110" s="292" t="s">
        <v>256</v>
      </c>
      <c r="B110" s="293"/>
      <c r="C110" s="56">
        <f>C111+C127</f>
        <v>3000</v>
      </c>
      <c r="D110" s="56">
        <f>+D111+D127</f>
        <v>3005.58</v>
      </c>
      <c r="E110" s="56">
        <f>E111+E127</f>
        <v>2904.38</v>
      </c>
      <c r="F110" s="52">
        <f>+E110/D110*100</f>
        <v>96.632929417949285</v>
      </c>
    </row>
    <row r="111" spans="1:6" s="5" customFormat="1" ht="13.5" customHeight="1" x14ac:dyDescent="0.2">
      <c r="A111" s="34">
        <v>32</v>
      </c>
      <c r="B111" s="65" t="s">
        <v>58</v>
      </c>
      <c r="C111" s="35">
        <f>C114+C119+C121+C123</f>
        <v>3000</v>
      </c>
      <c r="D111" s="35">
        <f>+D112+D114+D119+D121+D123</f>
        <v>3005.58</v>
      </c>
      <c r="E111" s="35">
        <f>E114+E119+E121+E123+E112</f>
        <v>2904.38</v>
      </c>
      <c r="F111" s="51">
        <f t="shared" ref="F111:F131" si="7">+E111/D111*100</f>
        <v>96.632929417949285</v>
      </c>
    </row>
    <row r="112" spans="1:6" s="5" customFormat="1" ht="13.5" customHeight="1" x14ac:dyDescent="0.2">
      <c r="A112" s="34">
        <v>321</v>
      </c>
      <c r="B112" s="65" t="s">
        <v>105</v>
      </c>
      <c r="C112" s="35"/>
      <c r="D112" s="35">
        <f>+D113</f>
        <v>21.2</v>
      </c>
      <c r="E112" s="35">
        <f>+E113</f>
        <v>21.2</v>
      </c>
      <c r="F112" s="51">
        <f t="shared" si="7"/>
        <v>100</v>
      </c>
    </row>
    <row r="113" spans="1:6" s="5" customFormat="1" ht="13.5" customHeight="1" x14ac:dyDescent="0.2">
      <c r="A113" s="12">
        <v>3211</v>
      </c>
      <c r="B113" s="67" t="s">
        <v>2</v>
      </c>
      <c r="C113" s="35"/>
      <c r="D113" s="20">
        <v>21.2</v>
      </c>
      <c r="E113" s="20">
        <v>21.2</v>
      </c>
      <c r="F113" s="51">
        <f t="shared" si="7"/>
        <v>100</v>
      </c>
    </row>
    <row r="114" spans="1:6" s="5" customFormat="1" ht="13.5" customHeight="1" x14ac:dyDescent="0.2">
      <c r="A114" s="34">
        <v>322</v>
      </c>
      <c r="B114" s="57" t="s">
        <v>106</v>
      </c>
      <c r="C114" s="36">
        <f>C115+C116+C117+C118</f>
        <v>1000</v>
      </c>
      <c r="D114" s="36">
        <f>+D115+D116+D117+D118</f>
        <v>1328.51</v>
      </c>
      <c r="E114" s="36">
        <f>E115+E116+E117+E118</f>
        <v>1361.93</v>
      </c>
      <c r="F114" s="51">
        <f t="shared" si="7"/>
        <v>102.51560018366442</v>
      </c>
    </row>
    <row r="115" spans="1:6" s="5" customFormat="1" ht="13.5" customHeight="1" x14ac:dyDescent="0.2">
      <c r="A115" s="4" t="s">
        <v>9</v>
      </c>
      <c r="B115" s="13" t="s">
        <v>10</v>
      </c>
      <c r="C115" s="20"/>
      <c r="D115" s="20">
        <f t="shared" si="6"/>
        <v>0</v>
      </c>
      <c r="E115" s="20"/>
      <c r="F115" s="51" t="e">
        <f t="shared" si="7"/>
        <v>#DIV/0!</v>
      </c>
    </row>
    <row r="116" spans="1:6" s="5" customFormat="1" ht="13.5" customHeight="1" x14ac:dyDescent="0.2">
      <c r="A116" s="12">
        <v>3222</v>
      </c>
      <c r="B116" s="13" t="s">
        <v>75</v>
      </c>
      <c r="C116" s="20">
        <v>0</v>
      </c>
      <c r="D116" s="20">
        <v>73.099999999999994</v>
      </c>
      <c r="E116" s="20">
        <f>76.74+29.78</f>
        <v>106.52</v>
      </c>
      <c r="F116" s="51">
        <f t="shared" si="7"/>
        <v>145.71819425444596</v>
      </c>
    </row>
    <row r="117" spans="1:6" s="5" customFormat="1" ht="13.5" customHeight="1" x14ac:dyDescent="0.2">
      <c r="A117" s="12">
        <v>3225</v>
      </c>
      <c r="B117" s="13" t="s">
        <v>16</v>
      </c>
      <c r="C117" s="20">
        <v>1000</v>
      </c>
      <c r="D117" s="20">
        <v>1255.4100000000001</v>
      </c>
      <c r="E117" s="20">
        <v>1255.4100000000001</v>
      </c>
      <c r="F117" s="51">
        <f t="shared" si="7"/>
        <v>100</v>
      </c>
    </row>
    <row r="118" spans="1:6" s="5" customFormat="1" ht="13.5" customHeight="1" x14ac:dyDescent="0.2">
      <c r="A118" s="12">
        <v>3227</v>
      </c>
      <c r="B118" s="13" t="s">
        <v>162</v>
      </c>
      <c r="C118" s="20">
        <v>0</v>
      </c>
      <c r="D118" s="20">
        <f t="shared" si="6"/>
        <v>0</v>
      </c>
      <c r="E118" s="20"/>
      <c r="F118" s="51" t="e">
        <f t="shared" si="7"/>
        <v>#DIV/0!</v>
      </c>
    </row>
    <row r="119" spans="1:6" s="5" customFormat="1" ht="13.5" customHeight="1" x14ac:dyDescent="0.2">
      <c r="A119" s="34">
        <v>323</v>
      </c>
      <c r="B119" s="57" t="s">
        <v>107</v>
      </c>
      <c r="C119" s="35">
        <v>0</v>
      </c>
      <c r="D119" s="35">
        <f>+D120</f>
        <v>547.75</v>
      </c>
      <c r="E119" s="35">
        <f>E120</f>
        <v>547.75</v>
      </c>
      <c r="F119" s="51">
        <f t="shared" si="7"/>
        <v>100</v>
      </c>
    </row>
    <row r="120" spans="1:6" s="5" customFormat="1" ht="13.5" customHeight="1" x14ac:dyDescent="0.2">
      <c r="A120" s="12">
        <v>3239</v>
      </c>
      <c r="B120" s="13" t="s">
        <v>32</v>
      </c>
      <c r="C120" s="20"/>
      <c r="D120" s="20">
        <v>547.75</v>
      </c>
      <c r="E120" s="20">
        <v>547.75</v>
      </c>
      <c r="F120" s="51">
        <f t="shared" si="7"/>
        <v>100</v>
      </c>
    </row>
    <row r="121" spans="1:6" s="37" customFormat="1" ht="13.5" customHeight="1" x14ac:dyDescent="0.2">
      <c r="A121" s="34">
        <v>324</v>
      </c>
      <c r="B121" s="57" t="s">
        <v>34</v>
      </c>
      <c r="C121" s="36">
        <v>0</v>
      </c>
      <c r="D121" s="36">
        <f t="shared" si="6"/>
        <v>0</v>
      </c>
      <c r="E121" s="36">
        <f>E122</f>
        <v>0</v>
      </c>
      <c r="F121" s="51" t="e">
        <f t="shared" si="7"/>
        <v>#DIV/0!</v>
      </c>
    </row>
    <row r="122" spans="1:6" s="5" customFormat="1" ht="13.5" customHeight="1" x14ac:dyDescent="0.2">
      <c r="A122" s="4" t="s">
        <v>33</v>
      </c>
      <c r="B122" s="13" t="s">
        <v>34</v>
      </c>
      <c r="C122" s="20"/>
      <c r="D122" s="20">
        <f t="shared" si="6"/>
        <v>0</v>
      </c>
      <c r="E122" s="20">
        <v>0</v>
      </c>
      <c r="F122" s="51" t="e">
        <f t="shared" si="7"/>
        <v>#DIV/0!</v>
      </c>
    </row>
    <row r="123" spans="1:6" s="37" customFormat="1" ht="13.5" customHeight="1" x14ac:dyDescent="0.2">
      <c r="A123" s="34">
        <v>329</v>
      </c>
      <c r="B123" s="57" t="s">
        <v>44</v>
      </c>
      <c r="C123" s="36">
        <f>+C124+C125+C126</f>
        <v>2000</v>
      </c>
      <c r="D123" s="36">
        <f>+D124+D125+D126</f>
        <v>1108.1199999999999</v>
      </c>
      <c r="E123" s="36">
        <f>SUM(E124:E126)</f>
        <v>973.5</v>
      </c>
      <c r="F123" s="51">
        <f t="shared" si="7"/>
        <v>87.851496227845374</v>
      </c>
    </row>
    <row r="124" spans="1:6" s="5" customFormat="1" ht="13.5" customHeight="1" x14ac:dyDescent="0.2">
      <c r="A124" s="4" t="s">
        <v>71</v>
      </c>
      <c r="B124" s="73" t="s">
        <v>72</v>
      </c>
      <c r="C124" s="20"/>
      <c r="D124" s="20">
        <f t="shared" si="6"/>
        <v>0</v>
      </c>
      <c r="E124" s="20">
        <v>0</v>
      </c>
      <c r="F124" s="51" t="e">
        <f t="shared" si="7"/>
        <v>#DIV/0!</v>
      </c>
    </row>
    <row r="125" spans="1:6" s="5" customFormat="1" ht="13.5" customHeight="1" x14ac:dyDescent="0.2">
      <c r="A125" s="4" t="s">
        <v>35</v>
      </c>
      <c r="B125" s="13" t="s">
        <v>36</v>
      </c>
      <c r="C125" s="20"/>
      <c r="D125" s="20">
        <f t="shared" si="6"/>
        <v>0</v>
      </c>
      <c r="E125" s="20">
        <v>0</v>
      </c>
      <c r="F125" s="51" t="e">
        <f t="shared" si="7"/>
        <v>#DIV/0!</v>
      </c>
    </row>
    <row r="126" spans="1:6" s="5" customFormat="1" ht="13.5" customHeight="1" x14ac:dyDescent="0.2">
      <c r="A126" s="4" t="s">
        <v>43</v>
      </c>
      <c r="B126" s="13" t="s">
        <v>44</v>
      </c>
      <c r="C126" s="20">
        <v>2000</v>
      </c>
      <c r="D126" s="20">
        <v>1108.1199999999999</v>
      </c>
      <c r="E126" s="20">
        <v>973.5</v>
      </c>
      <c r="F126" s="51">
        <f t="shared" si="7"/>
        <v>87.851496227845374</v>
      </c>
    </row>
    <row r="127" spans="1:6" s="37" customFormat="1" ht="13.5" customHeight="1" x14ac:dyDescent="0.2">
      <c r="A127" s="34">
        <v>42</v>
      </c>
      <c r="B127" s="74" t="s">
        <v>109</v>
      </c>
      <c r="C127" s="36">
        <f>C130+C128</f>
        <v>0</v>
      </c>
      <c r="D127" s="36">
        <f t="shared" si="6"/>
        <v>0</v>
      </c>
      <c r="E127" s="36">
        <f>E130+E128</f>
        <v>0</v>
      </c>
      <c r="F127" s="51" t="e">
        <f t="shared" si="7"/>
        <v>#DIV/0!</v>
      </c>
    </row>
    <row r="128" spans="1:6" s="37" customFormat="1" ht="13.5" customHeight="1" x14ac:dyDescent="0.2">
      <c r="A128" s="34">
        <v>422</v>
      </c>
      <c r="B128" s="57" t="s">
        <v>110</v>
      </c>
      <c r="C128" s="36">
        <f>SUM(C129)</f>
        <v>0</v>
      </c>
      <c r="D128" s="36">
        <f t="shared" si="6"/>
        <v>0</v>
      </c>
      <c r="E128" s="71">
        <f>E129</f>
        <v>0</v>
      </c>
      <c r="F128" s="51" t="e">
        <f t="shared" si="7"/>
        <v>#DIV/0!</v>
      </c>
    </row>
    <row r="129" spans="1:6" s="37" customFormat="1" ht="13.5" customHeight="1" x14ac:dyDescent="0.2">
      <c r="A129" s="39">
        <v>4227</v>
      </c>
      <c r="B129" s="13" t="s">
        <v>78</v>
      </c>
      <c r="C129" s="20">
        <v>0</v>
      </c>
      <c r="D129" s="20">
        <f t="shared" si="6"/>
        <v>0</v>
      </c>
      <c r="E129" s="20"/>
      <c r="F129" s="51" t="e">
        <f t="shared" si="7"/>
        <v>#DIV/0!</v>
      </c>
    </row>
    <row r="130" spans="1:6" s="37" customFormat="1" ht="13.5" customHeight="1" x14ac:dyDescent="0.2">
      <c r="A130" s="34">
        <v>424</v>
      </c>
      <c r="B130" s="57" t="s">
        <v>111</v>
      </c>
      <c r="C130" s="36">
        <v>0</v>
      </c>
      <c r="D130" s="36">
        <f t="shared" si="6"/>
        <v>0</v>
      </c>
      <c r="E130" s="36">
        <f>E131</f>
        <v>0</v>
      </c>
      <c r="F130" s="51" t="e">
        <f t="shared" si="7"/>
        <v>#DIV/0!</v>
      </c>
    </row>
    <row r="131" spans="1:6" s="5" customFormat="1" ht="13.5" customHeight="1" x14ac:dyDescent="0.2">
      <c r="A131" s="4" t="s">
        <v>69</v>
      </c>
      <c r="B131" s="13" t="s">
        <v>70</v>
      </c>
      <c r="C131" s="20"/>
      <c r="D131" s="20">
        <f t="shared" si="6"/>
        <v>0</v>
      </c>
      <c r="E131" s="20">
        <v>0</v>
      </c>
      <c r="F131" s="51" t="e">
        <f t="shared" si="7"/>
        <v>#DIV/0!</v>
      </c>
    </row>
    <row r="132" spans="1:6" s="5" customFormat="1" ht="13.5" customHeight="1" x14ac:dyDescent="0.2">
      <c r="A132" s="292" t="s">
        <v>253</v>
      </c>
      <c r="B132" s="293"/>
      <c r="C132" s="56">
        <f>C133+C141+C166+C172+C163+C169</f>
        <v>18000</v>
      </c>
      <c r="D132" s="56">
        <f>+D133+D141+D163+D166+D169+D172</f>
        <v>17661.489999999998</v>
      </c>
      <c r="E132" s="56">
        <f>E133+E141+E166+E172+E163+E169</f>
        <v>14781.11</v>
      </c>
      <c r="F132" s="52">
        <f>+E132/D132*100</f>
        <v>83.691183473195082</v>
      </c>
    </row>
    <row r="133" spans="1:6" s="3" customFormat="1" ht="13.5" customHeight="1" x14ac:dyDescent="0.2">
      <c r="A133" s="34">
        <v>31</v>
      </c>
      <c r="B133" s="65" t="s">
        <v>63</v>
      </c>
      <c r="C133" s="35">
        <f>C134+C136+C138</f>
        <v>0</v>
      </c>
      <c r="D133" s="35">
        <f t="shared" si="6"/>
        <v>0</v>
      </c>
      <c r="E133" s="35">
        <f>E134+E136+E138</f>
        <v>0</v>
      </c>
      <c r="F133" s="51" t="e">
        <f t="shared" ref="F133:F178" si="8">+E133/D133*100</f>
        <v>#DIV/0!</v>
      </c>
    </row>
    <row r="134" spans="1:6" s="3" customFormat="1" ht="13.5" customHeight="1" x14ac:dyDescent="0.2">
      <c r="A134" s="45">
        <v>311</v>
      </c>
      <c r="B134" s="66" t="s">
        <v>101</v>
      </c>
      <c r="C134" s="51">
        <f>C135</f>
        <v>0</v>
      </c>
      <c r="D134" s="51">
        <f t="shared" si="6"/>
        <v>0</v>
      </c>
      <c r="E134" s="51">
        <f>E135</f>
        <v>0</v>
      </c>
      <c r="F134" s="51" t="e">
        <f t="shared" si="8"/>
        <v>#DIV/0!</v>
      </c>
    </row>
    <row r="135" spans="1:6" s="3" customFormat="1" ht="13.5" customHeight="1" x14ac:dyDescent="0.2">
      <c r="A135" s="10">
        <v>3111</v>
      </c>
      <c r="B135" s="68" t="s">
        <v>102</v>
      </c>
      <c r="C135" s="53"/>
      <c r="D135" s="53">
        <f t="shared" si="6"/>
        <v>0</v>
      </c>
      <c r="E135" s="53"/>
      <c r="F135" s="51" t="e">
        <f t="shared" si="8"/>
        <v>#DIV/0!</v>
      </c>
    </row>
    <row r="136" spans="1:6" s="3" customFormat="1" ht="13.5" customHeight="1" x14ac:dyDescent="0.2">
      <c r="A136" s="45">
        <v>312</v>
      </c>
      <c r="B136" s="66" t="s">
        <v>74</v>
      </c>
      <c r="C136" s="51">
        <f>C137</f>
        <v>0</v>
      </c>
      <c r="D136" s="51">
        <f t="shared" si="6"/>
        <v>0</v>
      </c>
      <c r="E136" s="51">
        <f>E137</f>
        <v>0</v>
      </c>
      <c r="F136" s="51" t="e">
        <f t="shared" si="8"/>
        <v>#DIV/0!</v>
      </c>
    </row>
    <row r="137" spans="1:6" s="3" customFormat="1" ht="13.5" customHeight="1" x14ac:dyDescent="0.2">
      <c r="A137" s="10">
        <v>3121</v>
      </c>
      <c r="B137" s="68" t="s">
        <v>74</v>
      </c>
      <c r="C137" s="53">
        <v>0</v>
      </c>
      <c r="D137" s="53">
        <f t="shared" si="6"/>
        <v>0</v>
      </c>
      <c r="E137" s="53"/>
      <c r="F137" s="51" t="e">
        <f t="shared" si="8"/>
        <v>#DIV/0!</v>
      </c>
    </row>
    <row r="138" spans="1:6" s="3" customFormat="1" ht="13.5" customHeight="1" x14ac:dyDescent="0.2">
      <c r="A138" s="45">
        <v>313</v>
      </c>
      <c r="B138" s="66" t="s">
        <v>103</v>
      </c>
      <c r="C138" s="51">
        <f>C139+C140</f>
        <v>0</v>
      </c>
      <c r="D138" s="51">
        <f t="shared" si="6"/>
        <v>0</v>
      </c>
      <c r="E138" s="51">
        <f>E139+E140</f>
        <v>0</v>
      </c>
      <c r="F138" s="51" t="e">
        <f t="shared" si="8"/>
        <v>#DIV/0!</v>
      </c>
    </row>
    <row r="139" spans="1:6" s="3" customFormat="1" ht="13.5" customHeight="1" x14ac:dyDescent="0.2">
      <c r="A139" s="10">
        <v>3132</v>
      </c>
      <c r="B139" s="68" t="s">
        <v>104</v>
      </c>
      <c r="C139" s="53"/>
      <c r="D139" s="53">
        <f t="shared" si="6"/>
        <v>0</v>
      </c>
      <c r="E139" s="53"/>
      <c r="F139" s="51" t="e">
        <f t="shared" si="8"/>
        <v>#DIV/0!</v>
      </c>
    </row>
    <row r="140" spans="1:6" s="6" customFormat="1" ht="13.5" customHeight="1" x14ac:dyDescent="0.2">
      <c r="A140" s="12">
        <v>3133</v>
      </c>
      <c r="B140" s="67" t="s">
        <v>163</v>
      </c>
      <c r="C140" s="20">
        <v>0</v>
      </c>
      <c r="D140" s="20">
        <f t="shared" si="6"/>
        <v>0</v>
      </c>
      <c r="E140" s="20">
        <v>0</v>
      </c>
      <c r="F140" s="51" t="e">
        <f t="shared" si="8"/>
        <v>#DIV/0!</v>
      </c>
    </row>
    <row r="141" spans="1:6" s="5" customFormat="1" ht="13.5" customHeight="1" x14ac:dyDescent="0.2">
      <c r="A141" s="34">
        <v>32</v>
      </c>
      <c r="B141" s="65" t="s">
        <v>58</v>
      </c>
      <c r="C141" s="35">
        <f>C142+C144+C148+C155+C157</f>
        <v>6500</v>
      </c>
      <c r="D141" s="35">
        <f>+D142+D144+D148+D155+D157</f>
        <v>7965.16</v>
      </c>
      <c r="E141" s="35">
        <f>E142+E144+E148+E155+E157</f>
        <v>5029.34</v>
      </c>
      <c r="F141" s="51">
        <f t="shared" si="8"/>
        <v>63.141732243922291</v>
      </c>
    </row>
    <row r="142" spans="1:6" s="5" customFormat="1" ht="13.5" customHeight="1" x14ac:dyDescent="0.2">
      <c r="A142" s="34">
        <v>321</v>
      </c>
      <c r="B142" s="65" t="s">
        <v>105</v>
      </c>
      <c r="C142" s="35">
        <f>C143</f>
        <v>500</v>
      </c>
      <c r="D142" s="35">
        <f>+D143</f>
        <v>0</v>
      </c>
      <c r="E142" s="35">
        <f>E143</f>
        <v>0</v>
      </c>
      <c r="F142" s="51" t="e">
        <f t="shared" si="8"/>
        <v>#DIV/0!</v>
      </c>
    </row>
    <row r="143" spans="1:6" s="5" customFormat="1" ht="14.25" customHeight="1" x14ac:dyDescent="0.2">
      <c r="A143" s="4" t="s">
        <v>1</v>
      </c>
      <c r="B143" s="13" t="s">
        <v>2</v>
      </c>
      <c r="C143" s="20">
        <v>500</v>
      </c>
      <c r="D143" s="20">
        <v>0</v>
      </c>
      <c r="E143" s="20"/>
      <c r="F143" s="51" t="e">
        <f t="shared" si="8"/>
        <v>#DIV/0!</v>
      </c>
    </row>
    <row r="144" spans="1:6" s="5" customFormat="1" ht="13.5" customHeight="1" x14ac:dyDescent="0.2">
      <c r="A144" s="34">
        <v>322</v>
      </c>
      <c r="B144" s="57" t="s">
        <v>106</v>
      </c>
      <c r="C144" s="36">
        <f>+C145+C146+C147</f>
        <v>500</v>
      </c>
      <c r="D144" s="36">
        <f>+D145+D146+D147</f>
        <v>0</v>
      </c>
      <c r="E144" s="36">
        <f>SUM(E145:E147)</f>
        <v>38.909999999999997</v>
      </c>
      <c r="F144" s="51" t="e">
        <f t="shared" si="8"/>
        <v>#DIV/0!</v>
      </c>
    </row>
    <row r="145" spans="1:6" s="5" customFormat="1" ht="13.5" customHeight="1" x14ac:dyDescent="0.2">
      <c r="A145" s="4" t="s">
        <v>9</v>
      </c>
      <c r="B145" s="13" t="s">
        <v>10</v>
      </c>
      <c r="C145" s="20">
        <v>500</v>
      </c>
      <c r="D145" s="20">
        <v>0</v>
      </c>
      <c r="E145" s="20">
        <v>38.909999999999997</v>
      </c>
      <c r="F145" s="51" t="e">
        <f t="shared" si="8"/>
        <v>#DIV/0!</v>
      </c>
    </row>
    <row r="146" spans="1:6" s="5" customFormat="1" ht="13.5" customHeight="1" x14ac:dyDescent="0.2">
      <c r="A146" s="12">
        <v>3222</v>
      </c>
      <c r="B146" s="13" t="s">
        <v>75</v>
      </c>
      <c r="C146" s="20"/>
      <c r="D146" s="20">
        <f t="shared" ref="D146:D207" si="9">SUM(C146)</f>
        <v>0</v>
      </c>
      <c r="E146" s="20">
        <v>0</v>
      </c>
      <c r="F146" s="51" t="e">
        <f t="shared" si="8"/>
        <v>#DIV/0!</v>
      </c>
    </row>
    <row r="147" spans="1:6" s="5" customFormat="1" ht="13.5" customHeight="1" x14ac:dyDescent="0.2">
      <c r="A147" s="12">
        <v>3225</v>
      </c>
      <c r="B147" s="13" t="s">
        <v>16</v>
      </c>
      <c r="C147" s="20"/>
      <c r="D147" s="20">
        <f t="shared" si="9"/>
        <v>0</v>
      </c>
      <c r="E147" s="20">
        <v>0</v>
      </c>
      <c r="F147" s="51" t="e">
        <f t="shared" si="8"/>
        <v>#DIV/0!</v>
      </c>
    </row>
    <row r="148" spans="1:6" s="5" customFormat="1" ht="13.5" customHeight="1" x14ac:dyDescent="0.2">
      <c r="A148" s="34">
        <v>323</v>
      </c>
      <c r="B148" s="57" t="s">
        <v>107</v>
      </c>
      <c r="C148" s="35">
        <f>SUM(C149:C154)</f>
        <v>500</v>
      </c>
      <c r="D148" s="35">
        <f>+D149+D150+D151+D152+D153+D154</f>
        <v>1229</v>
      </c>
      <c r="E148" s="35">
        <f>SUM(E149:E154)</f>
        <v>1532.95</v>
      </c>
      <c r="F148" s="51">
        <f t="shared" si="8"/>
        <v>124.73148901545972</v>
      </c>
    </row>
    <row r="149" spans="1:6" s="9" customFormat="1" ht="13.5" customHeight="1" x14ac:dyDescent="0.2">
      <c r="A149" s="12">
        <v>3231</v>
      </c>
      <c r="B149" s="38" t="s">
        <v>18</v>
      </c>
      <c r="C149" s="20"/>
      <c r="D149" s="20">
        <f t="shared" si="9"/>
        <v>0</v>
      </c>
      <c r="E149" s="20"/>
      <c r="F149" s="51" t="e">
        <f t="shared" si="8"/>
        <v>#DIV/0!</v>
      </c>
    </row>
    <row r="150" spans="1:6" s="5" customFormat="1" ht="13.5" customHeight="1" x14ac:dyDescent="0.2">
      <c r="A150" s="4" t="s">
        <v>21</v>
      </c>
      <c r="B150" s="13" t="s">
        <v>22</v>
      </c>
      <c r="C150" s="20"/>
      <c r="D150" s="20">
        <f t="shared" si="9"/>
        <v>0</v>
      </c>
      <c r="E150" s="20"/>
      <c r="F150" s="51" t="e">
        <f t="shared" si="8"/>
        <v>#DIV/0!</v>
      </c>
    </row>
    <row r="151" spans="1:6" s="5" customFormat="1" ht="13.5" customHeight="1" x14ac:dyDescent="0.2">
      <c r="A151" s="12">
        <v>3235</v>
      </c>
      <c r="B151" s="13" t="s">
        <v>76</v>
      </c>
      <c r="C151" s="20">
        <v>500</v>
      </c>
      <c r="D151" s="20">
        <v>729</v>
      </c>
      <c r="E151" s="20">
        <v>729</v>
      </c>
      <c r="F151" s="51">
        <f t="shared" si="8"/>
        <v>100</v>
      </c>
    </row>
    <row r="152" spans="1:6" s="5" customFormat="1" ht="13.5" customHeight="1" x14ac:dyDescent="0.2">
      <c r="A152" s="12">
        <v>3236</v>
      </c>
      <c r="B152" s="13" t="s">
        <v>26</v>
      </c>
      <c r="C152" s="20">
        <v>0</v>
      </c>
      <c r="D152" s="20">
        <f t="shared" si="9"/>
        <v>0</v>
      </c>
      <c r="E152" s="20">
        <v>0</v>
      </c>
      <c r="F152" s="51" t="e">
        <f t="shared" si="8"/>
        <v>#DIV/0!</v>
      </c>
    </row>
    <row r="153" spans="1:6" s="5" customFormat="1" ht="13.5" customHeight="1" x14ac:dyDescent="0.2">
      <c r="A153" s="12">
        <v>3237</v>
      </c>
      <c r="B153" s="13" t="s">
        <v>28</v>
      </c>
      <c r="C153" s="20"/>
      <c r="D153" s="20">
        <f t="shared" si="9"/>
        <v>0</v>
      </c>
      <c r="E153" s="20"/>
      <c r="F153" s="51" t="e">
        <f t="shared" si="8"/>
        <v>#DIV/0!</v>
      </c>
    </row>
    <row r="154" spans="1:6" s="5" customFormat="1" ht="13.5" customHeight="1" x14ac:dyDescent="0.2">
      <c r="A154" s="12">
        <v>3239</v>
      </c>
      <c r="B154" s="38" t="s">
        <v>32</v>
      </c>
      <c r="C154" s="20"/>
      <c r="D154" s="20">
        <v>500</v>
      </c>
      <c r="E154" s="20">
        <v>803.95</v>
      </c>
      <c r="F154" s="51">
        <f t="shared" si="8"/>
        <v>160.79000000000002</v>
      </c>
    </row>
    <row r="155" spans="1:6" s="37" customFormat="1" ht="13.5" customHeight="1" x14ac:dyDescent="0.2">
      <c r="A155" s="34">
        <v>324</v>
      </c>
      <c r="B155" s="74" t="s">
        <v>34</v>
      </c>
      <c r="C155" s="36">
        <v>0</v>
      </c>
      <c r="D155" s="36">
        <f>+D156</f>
        <v>200</v>
      </c>
      <c r="E155" s="36">
        <f>E156</f>
        <v>180</v>
      </c>
      <c r="F155" s="51">
        <f t="shared" si="8"/>
        <v>90</v>
      </c>
    </row>
    <row r="156" spans="1:6" s="5" customFormat="1" ht="13.5" customHeight="1" x14ac:dyDescent="0.2">
      <c r="A156" s="4" t="s">
        <v>33</v>
      </c>
      <c r="B156" s="13" t="s">
        <v>34</v>
      </c>
      <c r="C156" s="20"/>
      <c r="D156" s="20">
        <v>200</v>
      </c>
      <c r="E156" s="20">
        <v>180</v>
      </c>
      <c r="F156" s="51">
        <f t="shared" si="8"/>
        <v>90</v>
      </c>
    </row>
    <row r="157" spans="1:6" s="37" customFormat="1" ht="13.5" customHeight="1" x14ac:dyDescent="0.2">
      <c r="A157" s="34">
        <v>329</v>
      </c>
      <c r="B157" s="57" t="s">
        <v>44</v>
      </c>
      <c r="C157" s="36">
        <f>SUM(C158:C162)</f>
        <v>5000</v>
      </c>
      <c r="D157" s="36">
        <f>+D158+D159+D160+D161+D162</f>
        <v>6536.16</v>
      </c>
      <c r="E157" s="36">
        <f>SUM(E158:E162)</f>
        <v>3277.48</v>
      </c>
      <c r="F157" s="51">
        <f t="shared" si="8"/>
        <v>50.143815328878119</v>
      </c>
    </row>
    <row r="158" spans="1:6" s="5" customFormat="1" ht="13.5" customHeight="1" x14ac:dyDescent="0.2">
      <c r="A158" s="4" t="s">
        <v>35</v>
      </c>
      <c r="B158" s="13" t="s">
        <v>36</v>
      </c>
      <c r="C158" s="20"/>
      <c r="D158" s="20">
        <f t="shared" si="9"/>
        <v>0</v>
      </c>
      <c r="E158" s="20">
        <v>0</v>
      </c>
      <c r="F158" s="51" t="e">
        <f t="shared" si="8"/>
        <v>#DIV/0!</v>
      </c>
    </row>
    <row r="159" spans="1:6" s="5" customFormat="1" ht="13.5" customHeight="1" x14ac:dyDescent="0.2">
      <c r="A159" s="4" t="s">
        <v>37</v>
      </c>
      <c r="B159" s="13" t="s">
        <v>38</v>
      </c>
      <c r="C159" s="20"/>
      <c r="D159" s="20">
        <f t="shared" si="9"/>
        <v>0</v>
      </c>
      <c r="E159" s="20"/>
      <c r="F159" s="51" t="e">
        <f t="shared" si="8"/>
        <v>#DIV/0!</v>
      </c>
    </row>
    <row r="160" spans="1:6" s="5" customFormat="1" ht="13.5" customHeight="1" x14ac:dyDescent="0.2">
      <c r="A160" s="4" t="s">
        <v>41</v>
      </c>
      <c r="B160" s="13" t="s">
        <v>42</v>
      </c>
      <c r="C160" s="20"/>
      <c r="D160" s="20">
        <f t="shared" si="9"/>
        <v>0</v>
      </c>
      <c r="E160" s="20"/>
      <c r="F160" s="51" t="e">
        <f t="shared" si="8"/>
        <v>#DIV/0!</v>
      </c>
    </row>
    <row r="161" spans="1:6" s="5" customFormat="1" ht="13.5" customHeight="1" x14ac:dyDescent="0.2">
      <c r="A161" s="12">
        <v>3296</v>
      </c>
      <c r="B161" s="13" t="s">
        <v>164</v>
      </c>
      <c r="C161" s="20">
        <v>0</v>
      </c>
      <c r="D161" s="20">
        <f t="shared" si="9"/>
        <v>0</v>
      </c>
      <c r="E161" s="20">
        <v>0</v>
      </c>
      <c r="F161" s="51" t="e">
        <f t="shared" si="8"/>
        <v>#DIV/0!</v>
      </c>
    </row>
    <row r="162" spans="1:6" s="5" customFormat="1" ht="13.5" customHeight="1" x14ac:dyDescent="0.2">
      <c r="A162" s="12">
        <v>3299</v>
      </c>
      <c r="B162" s="13" t="s">
        <v>44</v>
      </c>
      <c r="C162" s="20">
        <v>5000</v>
      </c>
      <c r="D162" s="20">
        <v>6536.16</v>
      </c>
      <c r="E162" s="20">
        <v>3277.48</v>
      </c>
      <c r="F162" s="51">
        <f t="shared" si="8"/>
        <v>50.143815328878119</v>
      </c>
    </row>
    <row r="163" spans="1:6" s="5" customFormat="1" ht="13.5" customHeight="1" x14ac:dyDescent="0.2">
      <c r="A163" s="34">
        <v>34</v>
      </c>
      <c r="B163" s="65" t="s">
        <v>59</v>
      </c>
      <c r="C163" s="35">
        <f>C164</f>
        <v>0</v>
      </c>
      <c r="D163" s="35">
        <f t="shared" si="9"/>
        <v>0</v>
      </c>
      <c r="E163" s="35">
        <f>E164</f>
        <v>0</v>
      </c>
      <c r="F163" s="51" t="e">
        <f t="shared" si="8"/>
        <v>#DIV/0!</v>
      </c>
    </row>
    <row r="164" spans="1:6" s="5" customFormat="1" ht="13.5" customHeight="1" x14ac:dyDescent="0.2">
      <c r="A164" s="34">
        <v>343</v>
      </c>
      <c r="B164" s="65" t="s">
        <v>108</v>
      </c>
      <c r="C164" s="35">
        <f>C165</f>
        <v>0</v>
      </c>
      <c r="D164" s="35">
        <f t="shared" si="9"/>
        <v>0</v>
      </c>
      <c r="E164" s="35">
        <f>E165</f>
        <v>0</v>
      </c>
      <c r="F164" s="51" t="e">
        <f t="shared" si="8"/>
        <v>#DIV/0!</v>
      </c>
    </row>
    <row r="165" spans="1:6" s="5" customFormat="1" ht="13.5" customHeight="1" x14ac:dyDescent="0.2">
      <c r="A165" s="12">
        <v>3433</v>
      </c>
      <c r="B165" s="13" t="s">
        <v>48</v>
      </c>
      <c r="C165" s="20">
        <v>0</v>
      </c>
      <c r="D165" s="20">
        <f t="shared" si="9"/>
        <v>0</v>
      </c>
      <c r="E165" s="20">
        <v>0</v>
      </c>
      <c r="F165" s="51" t="e">
        <f t="shared" si="8"/>
        <v>#DIV/0!</v>
      </c>
    </row>
    <row r="166" spans="1:6" s="37" customFormat="1" ht="25.5" customHeight="1" x14ac:dyDescent="0.2">
      <c r="A166" s="49">
        <v>37</v>
      </c>
      <c r="B166" s="75" t="s">
        <v>112</v>
      </c>
      <c r="C166" s="55">
        <f>C167</f>
        <v>8000</v>
      </c>
      <c r="D166" s="55">
        <f>+D167</f>
        <v>8531.08</v>
      </c>
      <c r="E166" s="55">
        <f>E167</f>
        <v>8531.08</v>
      </c>
      <c r="F166" s="51">
        <f t="shared" si="8"/>
        <v>100</v>
      </c>
    </row>
    <row r="167" spans="1:6" s="37" customFormat="1" ht="13.5" customHeight="1" x14ac:dyDescent="0.2">
      <c r="A167" s="34">
        <v>372</v>
      </c>
      <c r="B167" s="57" t="s">
        <v>113</v>
      </c>
      <c r="C167" s="36">
        <f>C168</f>
        <v>8000</v>
      </c>
      <c r="D167" s="36">
        <f>+D168</f>
        <v>8531.08</v>
      </c>
      <c r="E167" s="36">
        <f>E168</f>
        <v>8531.08</v>
      </c>
      <c r="F167" s="51">
        <f t="shared" si="8"/>
        <v>100</v>
      </c>
    </row>
    <row r="168" spans="1:6" s="5" customFormat="1" ht="13.5" customHeight="1" x14ac:dyDescent="0.2">
      <c r="A168" s="12">
        <v>3722</v>
      </c>
      <c r="B168" s="13" t="s">
        <v>114</v>
      </c>
      <c r="C168" s="20">
        <v>8000</v>
      </c>
      <c r="D168" s="20">
        <v>8531.08</v>
      </c>
      <c r="E168" s="20">
        <v>8531.08</v>
      </c>
      <c r="F168" s="51">
        <f t="shared" si="8"/>
        <v>100</v>
      </c>
    </row>
    <row r="169" spans="1:6" s="5" customFormat="1" ht="13.5" customHeight="1" x14ac:dyDescent="0.2">
      <c r="A169" s="34">
        <v>38</v>
      </c>
      <c r="B169" s="57" t="s">
        <v>206</v>
      </c>
      <c r="C169" s="55">
        <f>SUM(C170)</f>
        <v>500</v>
      </c>
      <c r="D169" s="55">
        <f>+D170</f>
        <v>465.25</v>
      </c>
      <c r="E169" s="55">
        <f>SUM(E170)</f>
        <v>465.25</v>
      </c>
      <c r="F169" s="51">
        <f t="shared" si="8"/>
        <v>100</v>
      </c>
    </row>
    <row r="170" spans="1:6" s="5" customFormat="1" ht="13.5" customHeight="1" x14ac:dyDescent="0.2">
      <c r="A170" s="34">
        <v>381</v>
      </c>
      <c r="B170" s="57" t="s">
        <v>55</v>
      </c>
      <c r="C170" s="36">
        <f>SUM(C171)</f>
        <v>500</v>
      </c>
      <c r="D170" s="36">
        <f>+D171</f>
        <v>465.25</v>
      </c>
      <c r="E170" s="36">
        <f>SUM(E171)</f>
        <v>465.25</v>
      </c>
      <c r="F170" s="51">
        <f t="shared" si="8"/>
        <v>100</v>
      </c>
    </row>
    <row r="171" spans="1:6" s="5" customFormat="1" ht="13.5" customHeight="1" x14ac:dyDescent="0.2">
      <c r="A171" s="12">
        <v>3812</v>
      </c>
      <c r="B171" s="13" t="s">
        <v>207</v>
      </c>
      <c r="C171" s="20">
        <v>500</v>
      </c>
      <c r="D171" s="20">
        <v>465.25</v>
      </c>
      <c r="E171" s="20">
        <v>465.25</v>
      </c>
      <c r="F171" s="51">
        <f t="shared" si="8"/>
        <v>100</v>
      </c>
    </row>
    <row r="172" spans="1:6" s="37" customFormat="1" ht="13.5" customHeight="1" x14ac:dyDescent="0.2">
      <c r="A172" s="34">
        <v>42</v>
      </c>
      <c r="B172" s="70" t="s">
        <v>109</v>
      </c>
      <c r="C172" s="36">
        <f>C173+C177</f>
        <v>3000</v>
      </c>
      <c r="D172" s="36">
        <f>+D173+D177</f>
        <v>700</v>
      </c>
      <c r="E172" s="36">
        <f>E173+E177</f>
        <v>755.44</v>
      </c>
      <c r="F172" s="51">
        <f t="shared" si="8"/>
        <v>107.92000000000002</v>
      </c>
    </row>
    <row r="173" spans="1:6" s="37" customFormat="1" ht="13.5" customHeight="1" x14ac:dyDescent="0.2">
      <c r="A173" s="34">
        <v>422</v>
      </c>
      <c r="B173" s="57" t="s">
        <v>110</v>
      </c>
      <c r="C173" s="36">
        <f>SUM(C174:C176)</f>
        <v>0</v>
      </c>
      <c r="D173" s="36">
        <f t="shared" si="9"/>
        <v>0</v>
      </c>
      <c r="E173" s="36">
        <f>SUM(E174:E176)</f>
        <v>0</v>
      </c>
      <c r="F173" s="51" t="e">
        <f t="shared" si="8"/>
        <v>#DIV/0!</v>
      </c>
    </row>
    <row r="174" spans="1:6" s="5" customFormat="1" ht="13.5" customHeight="1" x14ac:dyDescent="0.2">
      <c r="A174" s="4" t="s">
        <v>67</v>
      </c>
      <c r="B174" s="13" t="s">
        <v>68</v>
      </c>
      <c r="C174" s="20"/>
      <c r="D174" s="20">
        <f t="shared" si="9"/>
        <v>0</v>
      </c>
      <c r="E174" s="20">
        <v>0</v>
      </c>
      <c r="F174" s="51" t="e">
        <f t="shared" si="8"/>
        <v>#DIV/0!</v>
      </c>
    </row>
    <row r="175" spans="1:6" s="5" customFormat="1" ht="13.5" customHeight="1" x14ac:dyDescent="0.2">
      <c r="A175" s="12">
        <v>4225</v>
      </c>
      <c r="B175" s="38" t="s">
        <v>73</v>
      </c>
      <c r="C175" s="20"/>
      <c r="D175" s="20">
        <f t="shared" si="9"/>
        <v>0</v>
      </c>
      <c r="E175" s="20">
        <v>0</v>
      </c>
      <c r="F175" s="51" t="e">
        <f t="shared" si="8"/>
        <v>#DIV/0!</v>
      </c>
    </row>
    <row r="176" spans="1:6" s="5" customFormat="1" ht="13.5" customHeight="1" x14ac:dyDescent="0.2">
      <c r="A176" s="39">
        <v>4226</v>
      </c>
      <c r="B176" s="13" t="s">
        <v>88</v>
      </c>
      <c r="C176" s="20">
        <v>0</v>
      </c>
      <c r="D176" s="20">
        <f t="shared" si="9"/>
        <v>0</v>
      </c>
      <c r="E176" s="20">
        <v>0</v>
      </c>
      <c r="F176" s="51" t="e">
        <f t="shared" si="8"/>
        <v>#DIV/0!</v>
      </c>
    </row>
    <row r="177" spans="1:6" s="37" customFormat="1" ht="13.5" customHeight="1" x14ac:dyDescent="0.2">
      <c r="A177" s="34">
        <v>424</v>
      </c>
      <c r="B177" s="57" t="s">
        <v>111</v>
      </c>
      <c r="C177" s="36">
        <f>C178</f>
        <v>3000</v>
      </c>
      <c r="D177" s="36">
        <f>+D178</f>
        <v>700</v>
      </c>
      <c r="E177" s="36">
        <f>E178</f>
        <v>755.44</v>
      </c>
      <c r="F177" s="51">
        <f t="shared" si="8"/>
        <v>107.92000000000002</v>
      </c>
    </row>
    <row r="178" spans="1:6" s="5" customFormat="1" ht="13.5" customHeight="1" x14ac:dyDescent="0.2">
      <c r="A178" s="4" t="s">
        <v>69</v>
      </c>
      <c r="B178" s="13" t="s">
        <v>70</v>
      </c>
      <c r="C178" s="20">
        <v>3000</v>
      </c>
      <c r="D178" s="20">
        <v>700</v>
      </c>
      <c r="E178" s="20">
        <v>755.44</v>
      </c>
      <c r="F178" s="51">
        <f t="shared" si="8"/>
        <v>107.92000000000002</v>
      </c>
    </row>
    <row r="179" spans="1:6" s="5" customFormat="1" ht="13.5" customHeight="1" x14ac:dyDescent="0.2">
      <c r="A179" s="292" t="s">
        <v>255</v>
      </c>
      <c r="B179" s="293"/>
      <c r="C179" s="56">
        <f>C180+C194</f>
        <v>700</v>
      </c>
      <c r="D179" s="56">
        <f>+D180+D194</f>
        <v>3119.86</v>
      </c>
      <c r="E179" s="56">
        <f>+E180+E194</f>
        <v>3241.51</v>
      </c>
      <c r="F179" s="52">
        <f>+E179/D179*100</f>
        <v>103.89921342624349</v>
      </c>
    </row>
    <row r="180" spans="1:6" s="8" customFormat="1" ht="13.5" customHeight="1" x14ac:dyDescent="0.2">
      <c r="A180" s="34">
        <v>32</v>
      </c>
      <c r="B180" s="65" t="s">
        <v>58</v>
      </c>
      <c r="C180" s="35">
        <f>C181+C183+C187+C191</f>
        <v>700</v>
      </c>
      <c r="D180" s="35">
        <f>+D181+D183+D187+D191</f>
        <v>2309.86</v>
      </c>
      <c r="E180" s="35">
        <f>E181+E183+E187+E191</f>
        <v>2431.5100000000002</v>
      </c>
      <c r="F180" s="51">
        <f t="shared" ref="F180:F199" si="10">+E180/D180*100</f>
        <v>105.26655295126113</v>
      </c>
    </row>
    <row r="181" spans="1:6" s="8" customFormat="1" ht="13.5" customHeight="1" x14ac:dyDescent="0.2">
      <c r="A181" s="34">
        <v>321</v>
      </c>
      <c r="B181" s="65" t="s">
        <v>105</v>
      </c>
      <c r="C181" s="35">
        <f>C182</f>
        <v>700</v>
      </c>
      <c r="D181" s="35">
        <f>+D182</f>
        <v>0</v>
      </c>
      <c r="E181" s="35">
        <f>E182</f>
        <v>0</v>
      </c>
      <c r="F181" s="51" t="e">
        <f t="shared" si="10"/>
        <v>#DIV/0!</v>
      </c>
    </row>
    <row r="182" spans="1:6" s="9" customFormat="1" ht="13.5" customHeight="1" x14ac:dyDescent="0.2">
      <c r="A182" s="4" t="s">
        <v>1</v>
      </c>
      <c r="B182" s="13" t="s">
        <v>2</v>
      </c>
      <c r="C182" s="20">
        <v>700</v>
      </c>
      <c r="D182" s="20">
        <v>0</v>
      </c>
      <c r="E182" s="20">
        <v>0</v>
      </c>
      <c r="F182" s="51" t="e">
        <f t="shared" si="10"/>
        <v>#DIV/0!</v>
      </c>
    </row>
    <row r="183" spans="1:6" s="8" customFormat="1" ht="13.5" customHeight="1" x14ac:dyDescent="0.2">
      <c r="A183" s="34">
        <v>322</v>
      </c>
      <c r="B183" s="57" t="s">
        <v>106</v>
      </c>
      <c r="C183" s="36">
        <f>SUM(C184:C186)</f>
        <v>0</v>
      </c>
      <c r="D183" s="36">
        <f>+D184+D185+D186</f>
        <v>1124.99</v>
      </c>
      <c r="E183" s="36">
        <f>SUM(E184:E186)</f>
        <v>1124.99</v>
      </c>
      <c r="F183" s="51">
        <f t="shared" si="10"/>
        <v>100</v>
      </c>
    </row>
    <row r="184" spans="1:6" s="5" customFormat="1" ht="13.5" customHeight="1" x14ac:dyDescent="0.2">
      <c r="A184" s="4" t="s">
        <v>9</v>
      </c>
      <c r="B184" s="13" t="s">
        <v>10</v>
      </c>
      <c r="C184" s="20">
        <v>0</v>
      </c>
      <c r="D184" s="20">
        <f t="shared" si="9"/>
        <v>0</v>
      </c>
      <c r="E184" s="20">
        <v>0</v>
      </c>
      <c r="F184" s="51" t="e">
        <f t="shared" si="10"/>
        <v>#DIV/0!</v>
      </c>
    </row>
    <row r="185" spans="1:6" s="5" customFormat="1" ht="13.5" customHeight="1" x14ac:dyDescent="0.2">
      <c r="A185" s="12">
        <v>3222</v>
      </c>
      <c r="B185" s="13" t="s">
        <v>75</v>
      </c>
      <c r="C185" s="20"/>
      <c r="D185" s="20">
        <v>710</v>
      </c>
      <c r="E185" s="20">
        <v>710</v>
      </c>
      <c r="F185" s="51">
        <f t="shared" si="10"/>
        <v>100</v>
      </c>
    </row>
    <row r="186" spans="1:6" s="5" customFormat="1" ht="13.5" customHeight="1" x14ac:dyDescent="0.2">
      <c r="A186" s="4" t="s">
        <v>15</v>
      </c>
      <c r="B186" s="13" t="s">
        <v>16</v>
      </c>
      <c r="C186" s="20">
        <v>0</v>
      </c>
      <c r="D186" s="20">
        <v>414.99</v>
      </c>
      <c r="E186" s="20">
        <v>414.99</v>
      </c>
      <c r="F186" s="51">
        <f t="shared" si="10"/>
        <v>100</v>
      </c>
    </row>
    <row r="187" spans="1:6" s="8" customFormat="1" ht="13.5" customHeight="1" x14ac:dyDescent="0.2">
      <c r="A187" s="34">
        <v>323</v>
      </c>
      <c r="B187" s="57" t="s">
        <v>107</v>
      </c>
      <c r="C187" s="36">
        <v>0</v>
      </c>
      <c r="D187" s="36">
        <f>+D188+D189+D190</f>
        <v>623.37</v>
      </c>
      <c r="E187" s="36">
        <f>+E188+E190+E189</f>
        <v>623.37</v>
      </c>
      <c r="F187" s="51">
        <f t="shared" si="10"/>
        <v>100</v>
      </c>
    </row>
    <row r="188" spans="1:6" s="8" customFormat="1" ht="13.5" customHeight="1" x14ac:dyDescent="0.2">
      <c r="A188" s="34">
        <v>3231</v>
      </c>
      <c r="B188" s="13" t="s">
        <v>18</v>
      </c>
      <c r="C188" s="36"/>
      <c r="D188" s="252">
        <v>617.98</v>
      </c>
      <c r="E188" s="252">
        <v>617.98</v>
      </c>
      <c r="F188" s="51">
        <f t="shared" si="10"/>
        <v>100</v>
      </c>
    </row>
    <row r="189" spans="1:6" s="5" customFormat="1" ht="13.5" customHeight="1" x14ac:dyDescent="0.2">
      <c r="A189" s="12">
        <v>3235</v>
      </c>
      <c r="B189" s="13" t="s">
        <v>76</v>
      </c>
      <c r="C189" s="20"/>
      <c r="D189" s="20">
        <f t="shared" si="9"/>
        <v>0</v>
      </c>
      <c r="E189" s="20">
        <v>0</v>
      </c>
      <c r="F189" s="51" t="e">
        <f t="shared" si="10"/>
        <v>#DIV/0!</v>
      </c>
    </row>
    <row r="190" spans="1:6" s="5" customFormat="1" ht="13.5" customHeight="1" x14ac:dyDescent="0.2">
      <c r="A190" s="12">
        <v>3239</v>
      </c>
      <c r="B190" s="13" t="s">
        <v>32</v>
      </c>
      <c r="C190" s="20"/>
      <c r="D190" s="20">
        <v>5.39</v>
      </c>
      <c r="E190" s="20">
        <v>5.39</v>
      </c>
      <c r="F190" s="51">
        <f t="shared" si="10"/>
        <v>100</v>
      </c>
    </row>
    <row r="191" spans="1:6" s="8" customFormat="1" ht="13.5" customHeight="1" x14ac:dyDescent="0.2">
      <c r="A191" s="34">
        <v>329</v>
      </c>
      <c r="B191" s="57" t="s">
        <v>44</v>
      </c>
      <c r="C191" s="35">
        <v>0</v>
      </c>
      <c r="D191" s="35">
        <f>+D192+D193</f>
        <v>561.5</v>
      </c>
      <c r="E191" s="35">
        <f>SUM(E192:E193)</f>
        <v>683.15</v>
      </c>
      <c r="F191" s="51">
        <f t="shared" si="10"/>
        <v>121.66518254674979</v>
      </c>
    </row>
    <row r="192" spans="1:6" s="5" customFormat="1" ht="13.5" customHeight="1" x14ac:dyDescent="0.2">
      <c r="A192" s="12">
        <v>3293</v>
      </c>
      <c r="B192" s="13" t="s">
        <v>38</v>
      </c>
      <c r="C192" s="20"/>
      <c r="D192" s="20">
        <v>103.54</v>
      </c>
      <c r="E192" s="20">
        <v>103.54</v>
      </c>
      <c r="F192" s="51">
        <f t="shared" si="10"/>
        <v>100</v>
      </c>
    </row>
    <row r="193" spans="1:6" s="5" customFormat="1" ht="13.5" customHeight="1" x14ac:dyDescent="0.2">
      <c r="A193" s="12">
        <v>3299</v>
      </c>
      <c r="B193" s="13" t="s">
        <v>44</v>
      </c>
      <c r="C193" s="20"/>
      <c r="D193" s="20">
        <v>457.96</v>
      </c>
      <c r="E193" s="20">
        <v>579.61</v>
      </c>
      <c r="F193" s="51">
        <f t="shared" si="10"/>
        <v>126.56345532360906</v>
      </c>
    </row>
    <row r="194" spans="1:6" s="8" customFormat="1" ht="13.5" customHeight="1" x14ac:dyDescent="0.2">
      <c r="A194" s="34">
        <v>42</v>
      </c>
      <c r="B194" s="74" t="s">
        <v>115</v>
      </c>
      <c r="C194" s="35">
        <f>C195+C198</f>
        <v>0</v>
      </c>
      <c r="D194" s="35">
        <f>+D195+D198</f>
        <v>810</v>
      </c>
      <c r="E194" s="35">
        <f>E195+E198</f>
        <v>810</v>
      </c>
      <c r="F194" s="51">
        <f t="shared" si="10"/>
        <v>100</v>
      </c>
    </row>
    <row r="195" spans="1:6" s="8" customFormat="1" ht="13.5" customHeight="1" x14ac:dyDescent="0.2">
      <c r="A195" s="34">
        <v>422</v>
      </c>
      <c r="B195" s="57" t="s">
        <v>110</v>
      </c>
      <c r="C195" s="35">
        <f>C196+C197</f>
        <v>0</v>
      </c>
      <c r="D195" s="35">
        <f>+D196+D197</f>
        <v>700</v>
      </c>
      <c r="E195" s="35">
        <f>E196+E197</f>
        <v>700</v>
      </c>
      <c r="F195" s="51">
        <f t="shared" si="10"/>
        <v>100</v>
      </c>
    </row>
    <row r="196" spans="1:6" s="5" customFormat="1" ht="13.5" customHeight="1" x14ac:dyDescent="0.2">
      <c r="A196" s="4" t="s">
        <v>67</v>
      </c>
      <c r="B196" s="13" t="s">
        <v>68</v>
      </c>
      <c r="C196" s="20">
        <v>0</v>
      </c>
      <c r="D196" s="20">
        <f t="shared" si="9"/>
        <v>0</v>
      </c>
      <c r="E196" s="20">
        <v>0</v>
      </c>
      <c r="F196" s="51" t="e">
        <f t="shared" si="10"/>
        <v>#DIV/0!</v>
      </c>
    </row>
    <row r="197" spans="1:6" s="5" customFormat="1" ht="13.5" customHeight="1" x14ac:dyDescent="0.2">
      <c r="A197" s="12">
        <v>4227</v>
      </c>
      <c r="B197" s="13" t="s">
        <v>245</v>
      </c>
      <c r="C197" s="20">
        <v>0</v>
      </c>
      <c r="D197" s="20">
        <v>700</v>
      </c>
      <c r="E197" s="20">
        <v>700</v>
      </c>
      <c r="F197" s="51">
        <f t="shared" si="10"/>
        <v>100</v>
      </c>
    </row>
    <row r="198" spans="1:6" s="5" customFormat="1" ht="13.5" customHeight="1" x14ac:dyDescent="0.2">
      <c r="A198" s="34">
        <v>424</v>
      </c>
      <c r="B198" s="57" t="s">
        <v>111</v>
      </c>
      <c r="C198" s="35">
        <f>SUM(C199)</f>
        <v>0</v>
      </c>
      <c r="D198" s="35">
        <f>+D199</f>
        <v>110</v>
      </c>
      <c r="E198" s="35">
        <f>SUM(E199)</f>
        <v>110</v>
      </c>
      <c r="F198" s="51">
        <f t="shared" si="10"/>
        <v>100</v>
      </c>
    </row>
    <row r="199" spans="1:6" s="5" customFormat="1" ht="13.5" customHeight="1" x14ac:dyDescent="0.2">
      <c r="A199" s="12">
        <v>4241</v>
      </c>
      <c r="B199" s="13" t="s">
        <v>70</v>
      </c>
      <c r="C199" s="20">
        <v>0</v>
      </c>
      <c r="D199" s="20">
        <v>110</v>
      </c>
      <c r="E199" s="20">
        <v>110</v>
      </c>
      <c r="F199" s="51">
        <f t="shared" si="10"/>
        <v>100</v>
      </c>
    </row>
    <row r="200" spans="1:6" s="5" customFormat="1" ht="13.5" customHeight="1" x14ac:dyDescent="0.2">
      <c r="A200" s="292" t="s">
        <v>141</v>
      </c>
      <c r="B200" s="293"/>
      <c r="C200" s="56">
        <f>C201+C204</f>
        <v>0</v>
      </c>
      <c r="D200" s="56">
        <f t="shared" si="9"/>
        <v>0</v>
      </c>
      <c r="E200" s="56">
        <f>E201+E204</f>
        <v>0</v>
      </c>
      <c r="F200" s="52" t="e">
        <f>+E200/D200*100</f>
        <v>#DIV/0!</v>
      </c>
    </row>
    <row r="201" spans="1:6" s="5" customFormat="1" ht="13.5" customHeight="1" x14ac:dyDescent="0.2">
      <c r="A201" s="34">
        <v>32</v>
      </c>
      <c r="B201" s="65" t="s">
        <v>58</v>
      </c>
      <c r="C201" s="35">
        <f>C202</f>
        <v>0</v>
      </c>
      <c r="D201" s="35">
        <f t="shared" si="9"/>
        <v>0</v>
      </c>
      <c r="E201" s="35">
        <f>E202</f>
        <v>0</v>
      </c>
      <c r="F201" s="51" t="e">
        <f t="shared" ref="F201:F207" si="11">+E201/D201*100</f>
        <v>#DIV/0!</v>
      </c>
    </row>
    <row r="202" spans="1:6" s="5" customFormat="1" ht="13.5" customHeight="1" x14ac:dyDescent="0.2">
      <c r="A202" s="34">
        <v>323</v>
      </c>
      <c r="B202" s="57" t="s">
        <v>107</v>
      </c>
      <c r="C202" s="35">
        <v>0</v>
      </c>
      <c r="D202" s="35">
        <f t="shared" si="9"/>
        <v>0</v>
      </c>
      <c r="E202" s="35">
        <f>E203</f>
        <v>0</v>
      </c>
      <c r="F202" s="51" t="e">
        <f t="shared" si="11"/>
        <v>#DIV/0!</v>
      </c>
    </row>
    <row r="203" spans="1:6" s="9" customFormat="1" ht="13.5" customHeight="1" x14ac:dyDescent="0.2">
      <c r="A203" s="4" t="s">
        <v>19</v>
      </c>
      <c r="B203" s="13" t="s">
        <v>20</v>
      </c>
      <c r="C203" s="20">
        <v>0</v>
      </c>
      <c r="D203" s="20">
        <f t="shared" si="9"/>
        <v>0</v>
      </c>
      <c r="E203" s="20">
        <v>0</v>
      </c>
      <c r="F203" s="51" t="e">
        <f t="shared" si="11"/>
        <v>#DIV/0!</v>
      </c>
    </row>
    <row r="204" spans="1:6" s="37" customFormat="1" ht="13.5" customHeight="1" x14ac:dyDescent="0.2">
      <c r="A204" s="34">
        <v>42</v>
      </c>
      <c r="B204" s="76" t="s">
        <v>109</v>
      </c>
      <c r="C204" s="36">
        <f>C205</f>
        <v>0</v>
      </c>
      <c r="D204" s="36">
        <f t="shared" si="9"/>
        <v>0</v>
      </c>
      <c r="E204" s="36">
        <f>E205</f>
        <v>0</v>
      </c>
      <c r="F204" s="51" t="e">
        <f t="shared" si="11"/>
        <v>#DIV/0!</v>
      </c>
    </row>
    <row r="205" spans="1:6" s="37" customFormat="1" ht="13.5" customHeight="1" x14ac:dyDescent="0.2">
      <c r="A205" s="34">
        <v>422</v>
      </c>
      <c r="B205" s="57" t="s">
        <v>110</v>
      </c>
      <c r="C205" s="36">
        <v>0</v>
      </c>
      <c r="D205" s="36">
        <f t="shared" si="9"/>
        <v>0</v>
      </c>
      <c r="E205" s="36">
        <f>SUM(E206:E207)</f>
        <v>0</v>
      </c>
      <c r="F205" s="51" t="e">
        <f t="shared" si="11"/>
        <v>#DIV/0!</v>
      </c>
    </row>
    <row r="206" spans="1:6" s="9" customFormat="1" ht="13.5" customHeight="1" x14ac:dyDescent="0.2">
      <c r="A206" s="4" t="s">
        <v>67</v>
      </c>
      <c r="B206" s="13" t="s">
        <v>68</v>
      </c>
      <c r="C206" s="20">
        <v>0</v>
      </c>
      <c r="D206" s="20">
        <f t="shared" si="9"/>
        <v>0</v>
      </c>
      <c r="E206" s="20">
        <v>0</v>
      </c>
      <c r="F206" s="51" t="e">
        <f t="shared" si="11"/>
        <v>#DIV/0!</v>
      </c>
    </row>
    <row r="207" spans="1:6" s="9" customFormat="1" ht="13.5" customHeight="1" x14ac:dyDescent="0.2">
      <c r="A207" s="40" t="s">
        <v>77</v>
      </c>
      <c r="B207" s="41" t="s">
        <v>78</v>
      </c>
      <c r="C207" s="42">
        <v>0</v>
      </c>
      <c r="D207" s="42">
        <f t="shared" si="9"/>
        <v>0</v>
      </c>
      <c r="E207" s="42">
        <v>0</v>
      </c>
      <c r="F207" s="51" t="e">
        <f t="shared" si="11"/>
        <v>#DIV/0!</v>
      </c>
    </row>
    <row r="208" spans="1:6" ht="25.5" customHeight="1" x14ac:dyDescent="0.2">
      <c r="A208" s="308" t="s">
        <v>223</v>
      </c>
      <c r="B208" s="309"/>
      <c r="C208" s="33">
        <f>+C209+C220</f>
        <v>14800</v>
      </c>
      <c r="D208" s="33">
        <f>+D209+D220</f>
        <v>7843.79</v>
      </c>
      <c r="E208" s="33">
        <f>E220+E209</f>
        <v>7843.79</v>
      </c>
      <c r="F208" s="33">
        <f>+E208/D208*100</f>
        <v>100</v>
      </c>
    </row>
    <row r="209" spans="1:6" ht="12.75" customHeight="1" x14ac:dyDescent="0.2">
      <c r="A209" s="310" t="s">
        <v>254</v>
      </c>
      <c r="B209" s="311"/>
      <c r="C209" s="52">
        <f>SUM(C210)</f>
        <v>0</v>
      </c>
      <c r="D209" s="52">
        <f>+D210+D217</f>
        <v>2970.7</v>
      </c>
      <c r="E209" s="52">
        <f>+E210+E217</f>
        <v>2970.7</v>
      </c>
      <c r="F209" s="52">
        <f>+E209/D209*100</f>
        <v>100</v>
      </c>
    </row>
    <row r="210" spans="1:6" x14ac:dyDescent="0.2">
      <c r="A210" s="45">
        <v>31</v>
      </c>
      <c r="B210" s="66" t="s">
        <v>63</v>
      </c>
      <c r="C210" s="51">
        <f>SUM(C211,C215)</f>
        <v>0</v>
      </c>
      <c r="D210" s="51">
        <f>+D211+D213+D215</f>
        <v>2940.7</v>
      </c>
      <c r="E210" s="51">
        <f>+E211+E213+E215</f>
        <v>2940.7</v>
      </c>
      <c r="F210" s="51">
        <f t="shared" ref="F210:F219" si="12">+E210/D210*100</f>
        <v>100</v>
      </c>
    </row>
    <row r="211" spans="1:6" x14ac:dyDescent="0.2">
      <c r="A211" s="45">
        <v>311</v>
      </c>
      <c r="B211" s="66" t="s">
        <v>101</v>
      </c>
      <c r="C211" s="51">
        <f>SUM(C212)</f>
        <v>0</v>
      </c>
      <c r="D211" s="51">
        <f>+D212</f>
        <v>1837.5</v>
      </c>
      <c r="E211" s="51">
        <f>SUM(E212)</f>
        <v>1837.5</v>
      </c>
      <c r="F211" s="51">
        <f t="shared" si="12"/>
        <v>100</v>
      </c>
    </row>
    <row r="212" spans="1:6" x14ac:dyDescent="0.2">
      <c r="A212" s="10">
        <v>3111</v>
      </c>
      <c r="B212" s="68" t="s">
        <v>102</v>
      </c>
      <c r="C212" s="53">
        <v>0</v>
      </c>
      <c r="D212" s="53">
        <v>1837.5</v>
      </c>
      <c r="E212" s="53">
        <v>1837.5</v>
      </c>
      <c r="F212" s="51">
        <f t="shared" si="12"/>
        <v>100</v>
      </c>
    </row>
    <row r="213" spans="1:6" s="21" customFormat="1" x14ac:dyDescent="0.2">
      <c r="A213" s="45">
        <v>312</v>
      </c>
      <c r="B213" s="66" t="s">
        <v>74</v>
      </c>
      <c r="C213" s="51">
        <v>0</v>
      </c>
      <c r="D213" s="51">
        <f>+D214</f>
        <v>800</v>
      </c>
      <c r="E213" s="51">
        <f>+E214</f>
        <v>800</v>
      </c>
      <c r="F213" s="51">
        <f t="shared" si="12"/>
        <v>100</v>
      </c>
    </row>
    <row r="214" spans="1:6" s="21" customFormat="1" x14ac:dyDescent="0.2">
      <c r="A214" s="10">
        <v>3121</v>
      </c>
      <c r="B214" s="68" t="s">
        <v>74</v>
      </c>
      <c r="C214" s="53">
        <v>0</v>
      </c>
      <c r="D214" s="53">
        <v>800</v>
      </c>
      <c r="E214" s="53">
        <v>800</v>
      </c>
      <c r="F214" s="51">
        <f t="shared" si="12"/>
        <v>100</v>
      </c>
    </row>
    <row r="215" spans="1:6" x14ac:dyDescent="0.2">
      <c r="A215" s="45">
        <v>313</v>
      </c>
      <c r="B215" s="66" t="s">
        <v>103</v>
      </c>
      <c r="C215" s="51">
        <f>SUM(C216)</f>
        <v>0</v>
      </c>
      <c r="D215" s="51">
        <f>+D216</f>
        <v>303.2</v>
      </c>
      <c r="E215" s="51">
        <f>SUM(E216)</f>
        <v>303.2</v>
      </c>
      <c r="F215" s="51">
        <f t="shared" si="12"/>
        <v>100</v>
      </c>
    </row>
    <row r="216" spans="1:6" x14ac:dyDescent="0.2">
      <c r="A216" s="10">
        <v>3132</v>
      </c>
      <c r="B216" s="68" t="s">
        <v>104</v>
      </c>
      <c r="C216" s="53">
        <v>0</v>
      </c>
      <c r="D216" s="53">
        <v>303.2</v>
      </c>
      <c r="E216" s="53">
        <v>303.2</v>
      </c>
      <c r="F216" s="51">
        <f t="shared" si="12"/>
        <v>100</v>
      </c>
    </row>
    <row r="217" spans="1:6" s="21" customFormat="1" x14ac:dyDescent="0.2">
      <c r="A217" s="45">
        <v>32</v>
      </c>
      <c r="B217" s="66" t="s">
        <v>135</v>
      </c>
      <c r="C217" s="51">
        <v>0</v>
      </c>
      <c r="D217" s="51">
        <f>+D218</f>
        <v>30</v>
      </c>
      <c r="E217" s="51">
        <f>+E218</f>
        <v>30</v>
      </c>
      <c r="F217" s="51">
        <f t="shared" si="12"/>
        <v>100</v>
      </c>
    </row>
    <row r="218" spans="1:6" s="21" customFormat="1" x14ac:dyDescent="0.2">
      <c r="A218" s="45">
        <v>321</v>
      </c>
      <c r="B218" s="66" t="s">
        <v>105</v>
      </c>
      <c r="C218" s="51">
        <v>0</v>
      </c>
      <c r="D218" s="51">
        <f>+D219</f>
        <v>30</v>
      </c>
      <c r="E218" s="51">
        <f>+E219</f>
        <v>30</v>
      </c>
      <c r="F218" s="51">
        <f t="shared" si="12"/>
        <v>100</v>
      </c>
    </row>
    <row r="219" spans="1:6" s="21" customFormat="1" x14ac:dyDescent="0.2">
      <c r="A219" s="10">
        <v>3211</v>
      </c>
      <c r="B219" s="68" t="s">
        <v>2</v>
      </c>
      <c r="C219" s="53">
        <v>0</v>
      </c>
      <c r="D219" s="53">
        <v>30</v>
      </c>
      <c r="E219" s="53">
        <v>30</v>
      </c>
      <c r="F219" s="51">
        <f t="shared" si="12"/>
        <v>100</v>
      </c>
    </row>
    <row r="220" spans="1:6" x14ac:dyDescent="0.2">
      <c r="A220" s="294" t="s">
        <v>252</v>
      </c>
      <c r="B220" s="295"/>
      <c r="C220" s="52">
        <f>C221+C228</f>
        <v>14800</v>
      </c>
      <c r="D220" s="52">
        <f>+D221+D228</f>
        <v>4873.09</v>
      </c>
      <c r="E220" s="52">
        <f>E221+E228</f>
        <v>4873.09</v>
      </c>
      <c r="F220" s="52">
        <f>+E220/D220*100</f>
        <v>100</v>
      </c>
    </row>
    <row r="221" spans="1:6" x14ac:dyDescent="0.2">
      <c r="A221" s="45">
        <v>31</v>
      </c>
      <c r="B221" s="66" t="s">
        <v>63</v>
      </c>
      <c r="C221" s="51">
        <f>C222+C224+C226</f>
        <v>14800</v>
      </c>
      <c r="D221" s="51">
        <f>+D222+D226</f>
        <v>4873.09</v>
      </c>
      <c r="E221" s="51">
        <f>E222+E224+E226</f>
        <v>4873.09</v>
      </c>
      <c r="F221" s="51">
        <f t="shared" ref="F221:F231" si="13">+E221/D221*100</f>
        <v>100</v>
      </c>
    </row>
    <row r="222" spans="1:6" s="21" customFormat="1" x14ac:dyDescent="0.2">
      <c r="A222" s="45">
        <v>311</v>
      </c>
      <c r="B222" s="66" t="s">
        <v>101</v>
      </c>
      <c r="C222" s="51">
        <f>C223</f>
        <v>12000</v>
      </c>
      <c r="D222" s="51">
        <f>+D223</f>
        <v>4182.88</v>
      </c>
      <c r="E222" s="51">
        <f>E223</f>
        <v>4182.88</v>
      </c>
      <c r="F222" s="51">
        <f t="shared" si="13"/>
        <v>100</v>
      </c>
    </row>
    <row r="223" spans="1:6" x14ac:dyDescent="0.2">
      <c r="A223" s="10">
        <v>3111</v>
      </c>
      <c r="B223" s="68" t="s">
        <v>102</v>
      </c>
      <c r="C223" s="53">
        <v>12000</v>
      </c>
      <c r="D223" s="53">
        <v>4182.88</v>
      </c>
      <c r="E223" s="53">
        <v>4182.88</v>
      </c>
      <c r="F223" s="51">
        <f t="shared" si="13"/>
        <v>100</v>
      </c>
    </row>
    <row r="224" spans="1:6" x14ac:dyDescent="0.2">
      <c r="A224" s="45">
        <v>312</v>
      </c>
      <c r="B224" s="66" t="s">
        <v>74</v>
      </c>
      <c r="C224" s="51">
        <f>C225</f>
        <v>800</v>
      </c>
      <c r="D224" s="51">
        <f>+D225</f>
        <v>0</v>
      </c>
      <c r="E224" s="51">
        <f>E225</f>
        <v>0</v>
      </c>
      <c r="F224" s="51" t="e">
        <f t="shared" si="13"/>
        <v>#DIV/0!</v>
      </c>
    </row>
    <row r="225" spans="1:6" x14ac:dyDescent="0.2">
      <c r="A225" s="10">
        <v>3121</v>
      </c>
      <c r="B225" s="68" t="s">
        <v>74</v>
      </c>
      <c r="C225" s="53">
        <v>800</v>
      </c>
      <c r="D225" s="53">
        <v>0</v>
      </c>
      <c r="E225" s="53">
        <v>0</v>
      </c>
      <c r="F225" s="51" t="e">
        <f t="shared" si="13"/>
        <v>#DIV/0!</v>
      </c>
    </row>
    <row r="226" spans="1:6" x14ac:dyDescent="0.2">
      <c r="A226" s="45">
        <v>313</v>
      </c>
      <c r="B226" s="66" t="s">
        <v>103</v>
      </c>
      <c r="C226" s="51">
        <f>C227</f>
        <v>2000</v>
      </c>
      <c r="D226" s="51">
        <f>+D227</f>
        <v>690.21</v>
      </c>
      <c r="E226" s="51">
        <f>E227</f>
        <v>690.21</v>
      </c>
      <c r="F226" s="51">
        <f t="shared" si="13"/>
        <v>100</v>
      </c>
    </row>
    <row r="227" spans="1:6" x14ac:dyDescent="0.2">
      <c r="A227" s="10">
        <v>3132</v>
      </c>
      <c r="B227" s="68" t="s">
        <v>104</v>
      </c>
      <c r="C227" s="53">
        <v>2000</v>
      </c>
      <c r="D227" s="53">
        <v>690.21</v>
      </c>
      <c r="E227" s="53">
        <v>690.21</v>
      </c>
      <c r="F227" s="51">
        <f t="shared" si="13"/>
        <v>100</v>
      </c>
    </row>
    <row r="228" spans="1:6" x14ac:dyDescent="0.2">
      <c r="A228" s="45">
        <v>32</v>
      </c>
      <c r="B228" s="66" t="s">
        <v>58</v>
      </c>
      <c r="C228" s="51">
        <f>C229</f>
        <v>0</v>
      </c>
      <c r="D228" s="51">
        <f t="shared" ref="D228:D233" si="14">SUM(C228)</f>
        <v>0</v>
      </c>
      <c r="E228" s="51">
        <f>E229</f>
        <v>0</v>
      </c>
      <c r="F228" s="51" t="e">
        <f t="shared" si="13"/>
        <v>#DIV/0!</v>
      </c>
    </row>
    <row r="229" spans="1:6" x14ac:dyDescent="0.2">
      <c r="A229" s="45">
        <v>321</v>
      </c>
      <c r="B229" s="66" t="s">
        <v>105</v>
      </c>
      <c r="C229" s="51">
        <f>SUM(C230:C231)</f>
        <v>0</v>
      </c>
      <c r="D229" s="51">
        <f t="shared" si="14"/>
        <v>0</v>
      </c>
      <c r="E229" s="51">
        <f>SUM(E230:E231)</f>
        <v>0</v>
      </c>
      <c r="F229" s="51" t="e">
        <f t="shared" si="13"/>
        <v>#DIV/0!</v>
      </c>
    </row>
    <row r="230" spans="1:6" x14ac:dyDescent="0.2">
      <c r="A230" s="10">
        <v>3211</v>
      </c>
      <c r="B230" s="68" t="s">
        <v>2</v>
      </c>
      <c r="C230" s="53">
        <v>0</v>
      </c>
      <c r="D230" s="53">
        <f t="shared" si="14"/>
        <v>0</v>
      </c>
      <c r="E230" s="53">
        <v>0</v>
      </c>
      <c r="F230" s="51" t="e">
        <f t="shared" si="13"/>
        <v>#DIV/0!</v>
      </c>
    </row>
    <row r="231" spans="1:6" x14ac:dyDescent="0.2">
      <c r="A231" s="4" t="s">
        <v>3</v>
      </c>
      <c r="B231" s="13" t="s">
        <v>4</v>
      </c>
      <c r="C231" s="20">
        <v>0</v>
      </c>
      <c r="D231" s="20">
        <f t="shared" si="14"/>
        <v>0</v>
      </c>
      <c r="E231" s="20">
        <v>0</v>
      </c>
      <c r="F231" s="51" t="e">
        <f t="shared" si="13"/>
        <v>#DIV/0!</v>
      </c>
    </row>
    <row r="232" spans="1:6" x14ac:dyDescent="0.2">
      <c r="A232" s="300" t="s">
        <v>210</v>
      </c>
      <c r="B232" s="301"/>
      <c r="C232" s="33">
        <f t="shared" ref="C232:E233" si="15">C233</f>
        <v>45350</v>
      </c>
      <c r="D232" s="33">
        <f t="shared" si="14"/>
        <v>45350</v>
      </c>
      <c r="E232" s="33">
        <f t="shared" si="15"/>
        <v>43772.960000000006</v>
      </c>
      <c r="F232" s="33">
        <f>+E232/D232*100</f>
        <v>96.52251378169791</v>
      </c>
    </row>
    <row r="233" spans="1:6" x14ac:dyDescent="0.2">
      <c r="A233" s="294" t="s">
        <v>253</v>
      </c>
      <c r="B233" s="295"/>
      <c r="C233" s="52">
        <f t="shared" si="15"/>
        <v>45350</v>
      </c>
      <c r="D233" s="52">
        <f t="shared" si="14"/>
        <v>45350</v>
      </c>
      <c r="E233" s="52">
        <f t="shared" si="15"/>
        <v>43772.960000000006</v>
      </c>
      <c r="F233" s="52">
        <f>+E233/D233*100</f>
        <v>96.52251378169791</v>
      </c>
    </row>
    <row r="234" spans="1:6" x14ac:dyDescent="0.2">
      <c r="A234" s="45">
        <v>32</v>
      </c>
      <c r="B234" s="66" t="s">
        <v>58</v>
      </c>
      <c r="C234" s="51">
        <f>C235+C237</f>
        <v>45350</v>
      </c>
      <c r="D234" s="51">
        <f>+D235+D237</f>
        <v>45350</v>
      </c>
      <c r="E234" s="51">
        <f>E235+E237</f>
        <v>43772.960000000006</v>
      </c>
      <c r="F234" s="51">
        <f t="shared" ref="F234:F238" si="16">+E234/D234*100</f>
        <v>96.52251378169791</v>
      </c>
    </row>
    <row r="235" spans="1:6" x14ac:dyDescent="0.2">
      <c r="A235" s="34">
        <v>321</v>
      </c>
      <c r="B235" s="65" t="s">
        <v>105</v>
      </c>
      <c r="C235" s="35">
        <f>C236</f>
        <v>0</v>
      </c>
      <c r="D235" s="35">
        <f>+D236</f>
        <v>1200</v>
      </c>
      <c r="E235" s="35">
        <f>E236</f>
        <v>1186.5</v>
      </c>
      <c r="F235" s="51">
        <f t="shared" si="16"/>
        <v>98.875</v>
      </c>
    </row>
    <row r="236" spans="1:6" x14ac:dyDescent="0.2">
      <c r="A236" s="12">
        <v>3214</v>
      </c>
      <c r="B236" s="13" t="s">
        <v>8</v>
      </c>
      <c r="C236" s="20">
        <v>0</v>
      </c>
      <c r="D236" s="20">
        <v>1200</v>
      </c>
      <c r="E236" s="20">
        <f>1091+95.5</f>
        <v>1186.5</v>
      </c>
      <c r="F236" s="51">
        <f t="shared" si="16"/>
        <v>98.875</v>
      </c>
    </row>
    <row r="237" spans="1:6" x14ac:dyDescent="0.2">
      <c r="A237" s="34">
        <v>322</v>
      </c>
      <c r="B237" s="57" t="s">
        <v>106</v>
      </c>
      <c r="C237" s="36">
        <f>SUM(C238:C238)</f>
        <v>45350</v>
      </c>
      <c r="D237" s="36">
        <f>+D238</f>
        <v>44150</v>
      </c>
      <c r="E237" s="36">
        <f>SUM(E238:E238)</f>
        <v>42586.460000000006</v>
      </c>
      <c r="F237" s="51">
        <f t="shared" si="16"/>
        <v>96.458573046432633</v>
      </c>
    </row>
    <row r="238" spans="1:6" x14ac:dyDescent="0.2">
      <c r="A238" s="12">
        <v>3222</v>
      </c>
      <c r="B238" s="13" t="s">
        <v>75</v>
      </c>
      <c r="C238" s="20">
        <v>45350</v>
      </c>
      <c r="D238" s="20">
        <v>44150</v>
      </c>
      <c r="E238" s="20">
        <f>39200.73+3385.73</f>
        <v>42586.460000000006</v>
      </c>
      <c r="F238" s="51">
        <f t="shared" si="16"/>
        <v>96.458573046432633</v>
      </c>
    </row>
    <row r="239" spans="1:6" x14ac:dyDescent="0.2">
      <c r="A239" s="300" t="s">
        <v>159</v>
      </c>
      <c r="B239" s="301"/>
      <c r="C239" s="33">
        <f>C241+C246</f>
        <v>55</v>
      </c>
      <c r="D239" s="33">
        <f>+D240</f>
        <v>0</v>
      </c>
      <c r="E239" s="33">
        <f>E246+E240</f>
        <v>0</v>
      </c>
      <c r="F239" s="33" t="e">
        <f>+E239/D239*100</f>
        <v>#DIV/0!</v>
      </c>
    </row>
    <row r="240" spans="1:6" s="21" customFormat="1" x14ac:dyDescent="0.2">
      <c r="A240" s="294" t="s">
        <v>174</v>
      </c>
      <c r="B240" s="295"/>
      <c r="C240" s="52">
        <f>SUM(C241)</f>
        <v>0</v>
      </c>
      <c r="D240" s="52">
        <f t="shared" ref="D240:D257" si="17">SUM(C240)</f>
        <v>0</v>
      </c>
      <c r="E240" s="52">
        <f>SUM(E241)</f>
        <v>0</v>
      </c>
      <c r="F240" s="52" t="e">
        <f>+E240/D240*100</f>
        <v>#DIV/0!</v>
      </c>
    </row>
    <row r="241" spans="1:6" s="21" customFormat="1" x14ac:dyDescent="0.2">
      <c r="A241" s="45">
        <v>31</v>
      </c>
      <c r="B241" s="66" t="s">
        <v>63</v>
      </c>
      <c r="C241" s="51">
        <f>SUM(C242,C244)</f>
        <v>0</v>
      </c>
      <c r="D241" s="51">
        <f t="shared" si="17"/>
        <v>0</v>
      </c>
      <c r="E241" s="51">
        <f>SUM(E242,E244)</f>
        <v>0</v>
      </c>
      <c r="F241" s="51" t="e">
        <f t="shared" ref="F241:F245" si="18">+E241/D241*100</f>
        <v>#DIV/0!</v>
      </c>
    </row>
    <row r="242" spans="1:6" s="21" customFormat="1" x14ac:dyDescent="0.2">
      <c r="A242" s="45">
        <v>311</v>
      </c>
      <c r="B242" s="66" t="s">
        <v>101</v>
      </c>
      <c r="C242" s="51">
        <f>SUM(C243)</f>
        <v>0</v>
      </c>
      <c r="D242" s="51">
        <f t="shared" si="17"/>
        <v>0</v>
      </c>
      <c r="E242" s="51">
        <f>SUM(E243)</f>
        <v>0</v>
      </c>
      <c r="F242" s="51" t="e">
        <f t="shared" si="18"/>
        <v>#DIV/0!</v>
      </c>
    </row>
    <row r="243" spans="1:6" s="21" customFormat="1" x14ac:dyDescent="0.2">
      <c r="A243" s="10">
        <v>3111</v>
      </c>
      <c r="B243" s="68" t="s">
        <v>102</v>
      </c>
      <c r="C243" s="53">
        <v>0</v>
      </c>
      <c r="D243" s="53">
        <f t="shared" si="17"/>
        <v>0</v>
      </c>
      <c r="E243" s="53"/>
      <c r="F243" s="51" t="e">
        <f t="shared" si="18"/>
        <v>#DIV/0!</v>
      </c>
    </row>
    <row r="244" spans="1:6" s="21" customFormat="1" x14ac:dyDescent="0.2">
      <c r="A244" s="45">
        <v>313</v>
      </c>
      <c r="B244" s="66" t="s">
        <v>103</v>
      </c>
      <c r="C244" s="51">
        <f>SUM(C245)</f>
        <v>0</v>
      </c>
      <c r="D244" s="51">
        <f t="shared" si="17"/>
        <v>0</v>
      </c>
      <c r="E244" s="51">
        <f>SUM(E245)</f>
        <v>0</v>
      </c>
      <c r="F244" s="51" t="e">
        <f t="shared" si="18"/>
        <v>#DIV/0!</v>
      </c>
    </row>
    <row r="245" spans="1:6" s="21" customFormat="1" x14ac:dyDescent="0.2">
      <c r="A245" s="10">
        <v>3132</v>
      </c>
      <c r="B245" s="68" t="s">
        <v>104</v>
      </c>
      <c r="C245" s="53">
        <v>0</v>
      </c>
      <c r="D245" s="53">
        <f t="shared" si="17"/>
        <v>0</v>
      </c>
      <c r="E245" s="53"/>
      <c r="F245" s="51" t="e">
        <f t="shared" si="18"/>
        <v>#DIV/0!</v>
      </c>
    </row>
    <row r="246" spans="1:6" x14ac:dyDescent="0.2">
      <c r="A246" s="294" t="s">
        <v>173</v>
      </c>
      <c r="B246" s="295"/>
      <c r="C246" s="52">
        <f>C247+C254</f>
        <v>55</v>
      </c>
      <c r="D246" s="52">
        <f>+D247+D254</f>
        <v>0</v>
      </c>
      <c r="E246" s="52">
        <f>E247+E254</f>
        <v>0</v>
      </c>
      <c r="F246" s="52" t="e">
        <f>+E246/D246*100</f>
        <v>#DIV/0!</v>
      </c>
    </row>
    <row r="247" spans="1:6" x14ac:dyDescent="0.2">
      <c r="A247" s="45">
        <v>31</v>
      </c>
      <c r="B247" s="66" t="s">
        <v>63</v>
      </c>
      <c r="C247" s="51">
        <f>C248+C250+C252</f>
        <v>0</v>
      </c>
      <c r="D247" s="51">
        <f t="shared" si="17"/>
        <v>0</v>
      </c>
      <c r="E247" s="51">
        <f>E248+E250+E252</f>
        <v>0</v>
      </c>
      <c r="F247" s="51" t="e">
        <f t="shared" ref="F247:F257" si="19">+E247/D247*100</f>
        <v>#DIV/0!</v>
      </c>
    </row>
    <row r="248" spans="1:6" x14ac:dyDescent="0.2">
      <c r="A248" s="45">
        <v>311</v>
      </c>
      <c r="B248" s="66" t="s">
        <v>101</v>
      </c>
      <c r="C248" s="51">
        <f>C249</f>
        <v>0</v>
      </c>
      <c r="D248" s="51">
        <f t="shared" si="17"/>
        <v>0</v>
      </c>
      <c r="E248" s="51">
        <f>E249</f>
        <v>0</v>
      </c>
      <c r="F248" s="51" t="e">
        <f t="shared" si="19"/>
        <v>#DIV/0!</v>
      </c>
    </row>
    <row r="249" spans="1:6" x14ac:dyDescent="0.2">
      <c r="A249" s="10">
        <v>3111</v>
      </c>
      <c r="B249" s="68" t="s">
        <v>102</v>
      </c>
      <c r="C249" s="53">
        <v>0</v>
      </c>
      <c r="D249" s="53">
        <f t="shared" si="17"/>
        <v>0</v>
      </c>
      <c r="E249" s="53">
        <v>0</v>
      </c>
      <c r="F249" s="51" t="e">
        <f t="shared" si="19"/>
        <v>#DIV/0!</v>
      </c>
    </row>
    <row r="250" spans="1:6" x14ac:dyDescent="0.2">
      <c r="A250" s="45">
        <v>312</v>
      </c>
      <c r="B250" s="66" t="s">
        <v>74</v>
      </c>
      <c r="C250" s="51">
        <f>C251</f>
        <v>0</v>
      </c>
      <c r="D250" s="51">
        <f t="shared" si="17"/>
        <v>0</v>
      </c>
      <c r="E250" s="51">
        <f>E251</f>
        <v>0</v>
      </c>
      <c r="F250" s="51" t="e">
        <f t="shared" si="19"/>
        <v>#DIV/0!</v>
      </c>
    </row>
    <row r="251" spans="1:6" s="7" customFormat="1" x14ac:dyDescent="0.2">
      <c r="A251" s="10">
        <v>3121</v>
      </c>
      <c r="B251" s="68" t="s">
        <v>74</v>
      </c>
      <c r="C251" s="53">
        <v>0</v>
      </c>
      <c r="D251" s="53">
        <f t="shared" si="17"/>
        <v>0</v>
      </c>
      <c r="E251" s="53">
        <v>0</v>
      </c>
      <c r="F251" s="51" t="e">
        <f t="shared" si="19"/>
        <v>#DIV/0!</v>
      </c>
    </row>
    <row r="252" spans="1:6" x14ac:dyDescent="0.2">
      <c r="A252" s="45">
        <v>313</v>
      </c>
      <c r="B252" s="66" t="s">
        <v>103</v>
      </c>
      <c r="C252" s="51">
        <f>C253</f>
        <v>0</v>
      </c>
      <c r="D252" s="51">
        <f t="shared" si="17"/>
        <v>0</v>
      </c>
      <c r="E252" s="51">
        <f>E253</f>
        <v>0</v>
      </c>
      <c r="F252" s="51" t="e">
        <f t="shared" si="19"/>
        <v>#DIV/0!</v>
      </c>
    </row>
    <row r="253" spans="1:6" x14ac:dyDescent="0.2">
      <c r="A253" s="10">
        <v>3132</v>
      </c>
      <c r="B253" s="68" t="s">
        <v>104</v>
      </c>
      <c r="C253" s="53">
        <v>0</v>
      </c>
      <c r="D253" s="53">
        <f t="shared" si="17"/>
        <v>0</v>
      </c>
      <c r="E253" s="53">
        <v>0</v>
      </c>
      <c r="F253" s="51" t="e">
        <f t="shared" si="19"/>
        <v>#DIV/0!</v>
      </c>
    </row>
    <row r="254" spans="1:6" x14ac:dyDescent="0.2">
      <c r="A254" s="45">
        <v>32</v>
      </c>
      <c r="B254" s="66" t="s">
        <v>58</v>
      </c>
      <c r="C254" s="51">
        <f>C255</f>
        <v>55</v>
      </c>
      <c r="D254" s="51">
        <f>+D255</f>
        <v>0</v>
      </c>
      <c r="E254" s="51">
        <f>E255</f>
        <v>0</v>
      </c>
      <c r="F254" s="51" t="e">
        <f t="shared" si="19"/>
        <v>#DIV/0!</v>
      </c>
    </row>
    <row r="255" spans="1:6" x14ac:dyDescent="0.2">
      <c r="A255" s="45">
        <v>321</v>
      </c>
      <c r="B255" s="66" t="s">
        <v>105</v>
      </c>
      <c r="C255" s="51">
        <f>SUM(C256:C257)</f>
        <v>55</v>
      </c>
      <c r="D255" s="51">
        <f>+D256+D257</f>
        <v>0</v>
      </c>
      <c r="E255" s="51">
        <f>SUM(E256:E257)</f>
        <v>0</v>
      </c>
      <c r="F255" s="51" t="e">
        <f t="shared" si="19"/>
        <v>#DIV/0!</v>
      </c>
    </row>
    <row r="256" spans="1:6" x14ac:dyDescent="0.2">
      <c r="A256" s="10">
        <v>3211</v>
      </c>
      <c r="B256" s="68" t="s">
        <v>2</v>
      </c>
      <c r="C256" s="53">
        <v>55</v>
      </c>
      <c r="D256" s="53">
        <v>0</v>
      </c>
      <c r="E256" s="53">
        <v>0</v>
      </c>
      <c r="F256" s="51" t="e">
        <f t="shared" si="19"/>
        <v>#DIV/0!</v>
      </c>
    </row>
    <row r="257" spans="1:6" x14ac:dyDescent="0.2">
      <c r="A257" s="4" t="s">
        <v>3</v>
      </c>
      <c r="B257" s="13" t="s">
        <v>4</v>
      </c>
      <c r="C257" s="20">
        <v>0</v>
      </c>
      <c r="D257" s="20">
        <f t="shared" si="17"/>
        <v>0</v>
      </c>
      <c r="E257" s="20">
        <v>0</v>
      </c>
      <c r="F257" s="51" t="e">
        <f t="shared" si="19"/>
        <v>#DIV/0!</v>
      </c>
    </row>
    <row r="258" spans="1:6" x14ac:dyDescent="0.2">
      <c r="A258" s="308" t="s">
        <v>200</v>
      </c>
      <c r="B258" s="309"/>
      <c r="C258" s="33">
        <f>C259</f>
        <v>1500</v>
      </c>
      <c r="D258" s="33">
        <f>+D259</f>
        <v>1000</v>
      </c>
      <c r="E258" s="33">
        <f>E259</f>
        <v>863.98</v>
      </c>
      <c r="F258" s="33">
        <f>+E258/D258*100</f>
        <v>86.397999999999996</v>
      </c>
    </row>
    <row r="259" spans="1:6" x14ac:dyDescent="0.2">
      <c r="A259" s="310" t="s">
        <v>252</v>
      </c>
      <c r="B259" s="311"/>
      <c r="C259" s="52">
        <f>C260</f>
        <v>1500</v>
      </c>
      <c r="D259" s="52">
        <f>+D260</f>
        <v>1000</v>
      </c>
      <c r="E259" s="52">
        <f>E260</f>
        <v>863.98</v>
      </c>
      <c r="F259" s="52">
        <f>+E259/D259*100</f>
        <v>86.397999999999996</v>
      </c>
    </row>
    <row r="260" spans="1:6" x14ac:dyDescent="0.2">
      <c r="A260" s="45">
        <v>32</v>
      </c>
      <c r="B260" s="66" t="s">
        <v>58</v>
      </c>
      <c r="C260" s="51">
        <f t="shared" ref="C260:E261" si="20">C261</f>
        <v>1500</v>
      </c>
      <c r="D260" s="51">
        <f>+D261</f>
        <v>1000</v>
      </c>
      <c r="E260" s="51">
        <f t="shared" si="20"/>
        <v>863.98</v>
      </c>
      <c r="F260" s="51">
        <f t="shared" ref="F260:F262" si="21">+E260/D260*100</f>
        <v>86.397999999999996</v>
      </c>
    </row>
    <row r="261" spans="1:6" x14ac:dyDescent="0.2">
      <c r="A261" s="45">
        <v>322</v>
      </c>
      <c r="B261" s="66" t="s">
        <v>106</v>
      </c>
      <c r="C261" s="51">
        <f t="shared" si="20"/>
        <v>1500</v>
      </c>
      <c r="D261" s="51">
        <f>+D262</f>
        <v>1000</v>
      </c>
      <c r="E261" s="51">
        <f t="shared" si="20"/>
        <v>863.98</v>
      </c>
      <c r="F261" s="51">
        <f t="shared" si="21"/>
        <v>86.397999999999996</v>
      </c>
    </row>
    <row r="262" spans="1:6" x14ac:dyDescent="0.2">
      <c r="A262" s="10">
        <v>3222</v>
      </c>
      <c r="B262" s="68" t="s">
        <v>75</v>
      </c>
      <c r="C262" s="53">
        <v>1500</v>
      </c>
      <c r="D262" s="53">
        <v>1000</v>
      </c>
      <c r="E262" s="53">
        <v>863.98</v>
      </c>
      <c r="F262" s="51">
        <f t="shared" si="21"/>
        <v>86.397999999999996</v>
      </c>
    </row>
    <row r="263" spans="1:6" x14ac:dyDescent="0.2">
      <c r="A263" s="300" t="s">
        <v>201</v>
      </c>
      <c r="B263" s="301"/>
      <c r="C263" s="33">
        <f>C264</f>
        <v>60</v>
      </c>
      <c r="D263" s="33">
        <f>+D264</f>
        <v>95</v>
      </c>
      <c r="E263" s="33">
        <f>E264</f>
        <v>76</v>
      </c>
      <c r="F263" s="33">
        <f>+E263/D263*100</f>
        <v>80</v>
      </c>
    </row>
    <row r="264" spans="1:6" x14ac:dyDescent="0.2">
      <c r="A264" s="294" t="s">
        <v>252</v>
      </c>
      <c r="B264" s="295"/>
      <c r="C264" s="52">
        <f>C265</f>
        <v>60</v>
      </c>
      <c r="D264" s="52">
        <f>+D265</f>
        <v>95</v>
      </c>
      <c r="E264" s="52">
        <f>E265</f>
        <v>76</v>
      </c>
      <c r="F264" s="52">
        <f>+E264/D264*100</f>
        <v>80</v>
      </c>
    </row>
    <row r="265" spans="1:6" x14ac:dyDescent="0.2">
      <c r="A265" s="45">
        <v>32</v>
      </c>
      <c r="B265" s="66" t="s">
        <v>58</v>
      </c>
      <c r="C265" s="51">
        <f>C266</f>
        <v>60</v>
      </c>
      <c r="D265" s="51">
        <f>+D266</f>
        <v>95</v>
      </c>
      <c r="E265" s="51">
        <f>E266</f>
        <v>76</v>
      </c>
      <c r="F265" s="51">
        <f t="shared" ref="F265:F267" si="22">+E265/D265*100</f>
        <v>80</v>
      </c>
    </row>
    <row r="266" spans="1:6" x14ac:dyDescent="0.2">
      <c r="A266" s="45">
        <v>322</v>
      </c>
      <c r="B266" s="66" t="s">
        <v>106</v>
      </c>
      <c r="C266" s="51">
        <f>C267</f>
        <v>60</v>
      </c>
      <c r="D266" s="51">
        <f>+D267</f>
        <v>95</v>
      </c>
      <c r="E266" s="51">
        <f>E267</f>
        <v>76</v>
      </c>
      <c r="F266" s="51">
        <f t="shared" si="22"/>
        <v>80</v>
      </c>
    </row>
    <row r="267" spans="1:6" x14ac:dyDescent="0.2">
      <c r="A267" s="10">
        <v>3222</v>
      </c>
      <c r="B267" s="68" t="s">
        <v>75</v>
      </c>
      <c r="C267" s="53">
        <v>60</v>
      </c>
      <c r="D267" s="53">
        <v>95</v>
      </c>
      <c r="E267" s="53">
        <v>76</v>
      </c>
      <c r="F267" s="51">
        <f t="shared" si="22"/>
        <v>80</v>
      </c>
    </row>
    <row r="268" spans="1:6" ht="12.75" customHeight="1" x14ac:dyDescent="0.2">
      <c r="A268" s="308" t="s">
        <v>258</v>
      </c>
      <c r="B268" s="309"/>
      <c r="C268" s="33">
        <f>C270+C280</f>
        <v>0</v>
      </c>
      <c r="D268" s="33">
        <f>+D269+D280</f>
        <v>14452</v>
      </c>
      <c r="E268" s="33">
        <f>E280+E269</f>
        <v>14423.56</v>
      </c>
      <c r="F268" s="33">
        <f>+E268/D268*100</f>
        <v>99.803210628286749</v>
      </c>
    </row>
    <row r="269" spans="1:6" ht="12.75" customHeight="1" x14ac:dyDescent="0.2">
      <c r="A269" s="310" t="s">
        <v>254</v>
      </c>
      <c r="B269" s="311"/>
      <c r="C269" s="52">
        <f>SUM(C270)</f>
        <v>0</v>
      </c>
      <c r="D269" s="52">
        <f>+D270+D277</f>
        <v>2296</v>
      </c>
      <c r="E269" s="52">
        <f>+E270+E277</f>
        <v>2267.56</v>
      </c>
      <c r="F269" s="52">
        <f>+E269/D269*100</f>
        <v>98.761324041811847</v>
      </c>
    </row>
    <row r="270" spans="1:6" x14ac:dyDescent="0.2">
      <c r="A270" s="45">
        <v>31</v>
      </c>
      <c r="B270" s="66" t="s">
        <v>63</v>
      </c>
      <c r="C270" s="51">
        <f>SUM(C271,C275)</f>
        <v>0</v>
      </c>
      <c r="D270" s="51">
        <f>+D271+D273+D275</f>
        <v>2296</v>
      </c>
      <c r="E270" s="51">
        <f>+E271+E273+E275</f>
        <v>2267.56</v>
      </c>
      <c r="F270" s="51">
        <f t="shared" ref="F270:F279" si="23">+E270/D270*100</f>
        <v>98.761324041811847</v>
      </c>
    </row>
    <row r="271" spans="1:6" x14ac:dyDescent="0.2">
      <c r="A271" s="45">
        <v>311</v>
      </c>
      <c r="B271" s="66" t="s">
        <v>101</v>
      </c>
      <c r="C271" s="51">
        <f>SUM(C272)</f>
        <v>0</v>
      </c>
      <c r="D271" s="51">
        <f>+D272</f>
        <v>1096</v>
      </c>
      <c r="E271" s="51">
        <f>SUM(E272)</f>
        <v>1067.56</v>
      </c>
      <c r="F271" s="51">
        <f t="shared" si="23"/>
        <v>97.405109489051085</v>
      </c>
    </row>
    <row r="272" spans="1:6" x14ac:dyDescent="0.2">
      <c r="A272" s="10">
        <v>3111</v>
      </c>
      <c r="B272" s="68" t="s">
        <v>102</v>
      </c>
      <c r="C272" s="53">
        <v>0</v>
      </c>
      <c r="D272" s="53">
        <v>1096</v>
      </c>
      <c r="E272" s="53">
        <v>1067.56</v>
      </c>
      <c r="F272" s="51">
        <f t="shared" si="23"/>
        <v>97.405109489051085</v>
      </c>
    </row>
    <row r="273" spans="1:6" x14ac:dyDescent="0.2">
      <c r="A273" s="45">
        <v>312</v>
      </c>
      <c r="B273" s="66" t="s">
        <v>74</v>
      </c>
      <c r="C273" s="51">
        <v>0</v>
      </c>
      <c r="D273" s="51">
        <f>+D274</f>
        <v>1200</v>
      </c>
      <c r="E273" s="51">
        <f>+E274</f>
        <v>1200</v>
      </c>
      <c r="F273" s="51">
        <f t="shared" si="23"/>
        <v>100</v>
      </c>
    </row>
    <row r="274" spans="1:6" x14ac:dyDescent="0.2">
      <c r="A274" s="10">
        <v>3121</v>
      </c>
      <c r="B274" s="68" t="s">
        <v>74</v>
      </c>
      <c r="C274" s="53">
        <v>0</v>
      </c>
      <c r="D274" s="53">
        <v>1200</v>
      </c>
      <c r="E274" s="53">
        <v>1200</v>
      </c>
      <c r="F274" s="51">
        <f t="shared" si="23"/>
        <v>100</v>
      </c>
    </row>
    <row r="275" spans="1:6" x14ac:dyDescent="0.2">
      <c r="A275" s="45">
        <v>313</v>
      </c>
      <c r="B275" s="66" t="s">
        <v>103</v>
      </c>
      <c r="C275" s="51">
        <f>SUM(C276)</f>
        <v>0</v>
      </c>
      <c r="D275" s="51">
        <f>+D276</f>
        <v>0</v>
      </c>
      <c r="E275" s="51">
        <f>SUM(E276)</f>
        <v>0</v>
      </c>
      <c r="F275" s="51" t="e">
        <f t="shared" si="23"/>
        <v>#DIV/0!</v>
      </c>
    </row>
    <row r="276" spans="1:6" x14ac:dyDescent="0.2">
      <c r="A276" s="10">
        <v>3132</v>
      </c>
      <c r="B276" s="68" t="s">
        <v>104</v>
      </c>
      <c r="C276" s="53">
        <v>0</v>
      </c>
      <c r="D276" s="53">
        <v>0</v>
      </c>
      <c r="E276" s="53">
        <v>0</v>
      </c>
      <c r="F276" s="51" t="e">
        <f t="shared" si="23"/>
        <v>#DIV/0!</v>
      </c>
    </row>
    <row r="277" spans="1:6" x14ac:dyDescent="0.2">
      <c r="A277" s="45">
        <v>32</v>
      </c>
      <c r="B277" s="66" t="s">
        <v>135</v>
      </c>
      <c r="C277" s="51">
        <v>0</v>
      </c>
      <c r="D277" s="51">
        <f>+D278</f>
        <v>0</v>
      </c>
      <c r="E277" s="51">
        <f>+E278</f>
        <v>0</v>
      </c>
      <c r="F277" s="51" t="e">
        <f t="shared" si="23"/>
        <v>#DIV/0!</v>
      </c>
    </row>
    <row r="278" spans="1:6" x14ac:dyDescent="0.2">
      <c r="A278" s="45">
        <v>321</v>
      </c>
      <c r="B278" s="66" t="s">
        <v>105</v>
      </c>
      <c r="C278" s="51">
        <v>0</v>
      </c>
      <c r="D278" s="51">
        <f>+D279</f>
        <v>0</v>
      </c>
      <c r="E278" s="51">
        <f>+E279</f>
        <v>0</v>
      </c>
      <c r="F278" s="51" t="e">
        <f t="shared" si="23"/>
        <v>#DIV/0!</v>
      </c>
    </row>
    <row r="279" spans="1:6" x14ac:dyDescent="0.2">
      <c r="A279" s="10">
        <v>3211</v>
      </c>
      <c r="B279" s="68" t="s">
        <v>2</v>
      </c>
      <c r="C279" s="53">
        <v>0</v>
      </c>
      <c r="D279" s="53">
        <v>0</v>
      </c>
      <c r="E279" s="53">
        <v>0</v>
      </c>
      <c r="F279" s="51" t="e">
        <f t="shared" si="23"/>
        <v>#DIV/0!</v>
      </c>
    </row>
    <row r="280" spans="1:6" ht="12.75" customHeight="1" x14ac:dyDescent="0.2">
      <c r="A280" s="294" t="s">
        <v>252</v>
      </c>
      <c r="B280" s="295"/>
      <c r="C280" s="52">
        <f>C281+C288</f>
        <v>0</v>
      </c>
      <c r="D280" s="52">
        <f>+D281+D288</f>
        <v>12156</v>
      </c>
      <c r="E280" s="52">
        <f>E281+E288</f>
        <v>12156</v>
      </c>
      <c r="F280" s="52">
        <f>+E280/D280*100</f>
        <v>100</v>
      </c>
    </row>
    <row r="281" spans="1:6" x14ac:dyDescent="0.2">
      <c r="A281" s="45">
        <v>31</v>
      </c>
      <c r="B281" s="66" t="s">
        <v>63</v>
      </c>
      <c r="C281" s="51">
        <f>C282+C284+C286</f>
        <v>0</v>
      </c>
      <c r="D281" s="51">
        <f>+D282+D286</f>
        <v>11800.22</v>
      </c>
      <c r="E281" s="51">
        <f>E282+E284+E286</f>
        <v>11829.02</v>
      </c>
      <c r="F281" s="51">
        <f t="shared" ref="F281:F292" si="24">+E281/D281*100</f>
        <v>100.24406324627846</v>
      </c>
    </row>
    <row r="282" spans="1:6" x14ac:dyDescent="0.2">
      <c r="A282" s="45">
        <v>311</v>
      </c>
      <c r="B282" s="66" t="s">
        <v>101</v>
      </c>
      <c r="C282" s="51">
        <f>C283</f>
        <v>0</v>
      </c>
      <c r="D282" s="51">
        <f>+D283</f>
        <v>9974</v>
      </c>
      <c r="E282" s="51">
        <f>E283</f>
        <v>10002.44</v>
      </c>
      <c r="F282" s="51">
        <f t="shared" si="24"/>
        <v>100.28514136755564</v>
      </c>
    </row>
    <row r="283" spans="1:6" x14ac:dyDescent="0.2">
      <c r="A283" s="10">
        <v>3111</v>
      </c>
      <c r="B283" s="68" t="s">
        <v>102</v>
      </c>
      <c r="C283" s="53">
        <v>0</v>
      </c>
      <c r="D283" s="53">
        <v>9974</v>
      </c>
      <c r="E283" s="53">
        <v>10002.44</v>
      </c>
      <c r="F283" s="51">
        <f t="shared" si="24"/>
        <v>100.28514136755564</v>
      </c>
    </row>
    <row r="284" spans="1:6" x14ac:dyDescent="0.2">
      <c r="A284" s="45">
        <v>312</v>
      </c>
      <c r="B284" s="66" t="s">
        <v>74</v>
      </c>
      <c r="C284" s="51">
        <f>C285</f>
        <v>0</v>
      </c>
      <c r="D284" s="51">
        <f>+D285</f>
        <v>0</v>
      </c>
      <c r="E284" s="51">
        <f>E285</f>
        <v>0</v>
      </c>
      <c r="F284" s="51" t="e">
        <f t="shared" si="24"/>
        <v>#DIV/0!</v>
      </c>
    </row>
    <row r="285" spans="1:6" x14ac:dyDescent="0.2">
      <c r="A285" s="10">
        <v>3121</v>
      </c>
      <c r="B285" s="68" t="s">
        <v>74</v>
      </c>
      <c r="C285" s="53">
        <v>0</v>
      </c>
      <c r="D285" s="53">
        <v>0</v>
      </c>
      <c r="E285" s="53">
        <v>0</v>
      </c>
      <c r="F285" s="51" t="e">
        <f t="shared" si="24"/>
        <v>#DIV/0!</v>
      </c>
    </row>
    <row r="286" spans="1:6" x14ac:dyDescent="0.2">
      <c r="A286" s="45">
        <v>313</v>
      </c>
      <c r="B286" s="66" t="s">
        <v>103</v>
      </c>
      <c r="C286" s="51">
        <f>C287</f>
        <v>0</v>
      </c>
      <c r="D286" s="51">
        <f>+D287</f>
        <v>1826.22</v>
      </c>
      <c r="E286" s="51">
        <f>E287</f>
        <v>1826.58</v>
      </c>
      <c r="F286" s="51">
        <f t="shared" si="24"/>
        <v>100.01971284949238</v>
      </c>
    </row>
    <row r="287" spans="1:6" x14ac:dyDescent="0.2">
      <c r="A287" s="10">
        <v>3132</v>
      </c>
      <c r="B287" s="68" t="s">
        <v>104</v>
      </c>
      <c r="C287" s="53">
        <v>0</v>
      </c>
      <c r="D287" s="53">
        <v>1826.22</v>
      </c>
      <c r="E287" s="53">
        <v>1826.58</v>
      </c>
      <c r="F287" s="51">
        <f t="shared" si="24"/>
        <v>100.01971284949238</v>
      </c>
    </row>
    <row r="288" spans="1:6" x14ac:dyDescent="0.2">
      <c r="A288" s="45">
        <v>32</v>
      </c>
      <c r="B288" s="66" t="s">
        <v>58</v>
      </c>
      <c r="C288" s="51">
        <f>C289</f>
        <v>0</v>
      </c>
      <c r="D288" s="51">
        <f>+D289</f>
        <v>355.78</v>
      </c>
      <c r="E288" s="51">
        <f>E289</f>
        <v>326.98</v>
      </c>
      <c r="F288" s="51">
        <f t="shared" si="24"/>
        <v>91.905109899376043</v>
      </c>
    </row>
    <row r="289" spans="1:6" x14ac:dyDescent="0.2">
      <c r="A289" s="45">
        <v>321</v>
      </c>
      <c r="B289" s="66" t="s">
        <v>105</v>
      </c>
      <c r="C289" s="51">
        <f>SUM(C290:C291)</f>
        <v>0</v>
      </c>
      <c r="D289" s="51">
        <f>+D290+D291+D292</f>
        <v>355.78</v>
      </c>
      <c r="E289" s="51">
        <f>+E290+E291+E292</f>
        <v>326.98</v>
      </c>
      <c r="F289" s="51">
        <f t="shared" si="24"/>
        <v>91.905109899376043</v>
      </c>
    </row>
    <row r="290" spans="1:6" x14ac:dyDescent="0.2">
      <c r="A290" s="10">
        <v>3211</v>
      </c>
      <c r="B290" s="68" t="s">
        <v>2</v>
      </c>
      <c r="C290" s="53">
        <v>0</v>
      </c>
      <c r="D290" s="53">
        <f t="shared" ref="D290" si="25">SUM(C290)</f>
        <v>0</v>
      </c>
      <c r="E290" s="53">
        <v>0</v>
      </c>
      <c r="F290" s="51" t="e">
        <f t="shared" si="24"/>
        <v>#DIV/0!</v>
      </c>
    </row>
    <row r="291" spans="1:6" x14ac:dyDescent="0.2">
      <c r="A291" s="4" t="s">
        <v>3</v>
      </c>
      <c r="B291" s="13" t="s">
        <v>4</v>
      </c>
      <c r="C291" s="20">
        <v>0</v>
      </c>
      <c r="D291" s="20">
        <v>115.78</v>
      </c>
      <c r="E291" s="20">
        <v>99.97</v>
      </c>
      <c r="F291" s="51">
        <f t="shared" si="24"/>
        <v>86.344791846605631</v>
      </c>
    </row>
    <row r="292" spans="1:6" x14ac:dyDescent="0.2">
      <c r="A292" s="254">
        <v>3236</v>
      </c>
      <c r="B292" s="253" t="s">
        <v>26</v>
      </c>
      <c r="C292" s="253">
        <v>0</v>
      </c>
      <c r="D292" s="255">
        <v>240</v>
      </c>
      <c r="E292" s="255">
        <v>227.01</v>
      </c>
      <c r="F292" s="51">
        <f t="shared" si="24"/>
        <v>94.587499999999991</v>
      </c>
    </row>
  </sheetData>
  <mergeCells count="36">
    <mergeCell ref="A269:B269"/>
    <mergeCell ref="A280:B280"/>
    <mergeCell ref="A264:B264"/>
    <mergeCell ref="A258:B258"/>
    <mergeCell ref="A259:B259"/>
    <mergeCell ref="A263:B263"/>
    <mergeCell ref="A232:B232"/>
    <mergeCell ref="A233:B233"/>
    <mergeCell ref="A268:B268"/>
    <mergeCell ref="A239:B239"/>
    <mergeCell ref="A246:B246"/>
    <mergeCell ref="A200:B200"/>
    <mergeCell ref="A240:B240"/>
    <mergeCell ref="A14:B14"/>
    <mergeCell ref="A15:B15"/>
    <mergeCell ref="A16:B16"/>
    <mergeCell ref="A33:B33"/>
    <mergeCell ref="A17:B17"/>
    <mergeCell ref="A32:B32"/>
    <mergeCell ref="A179:B179"/>
    <mergeCell ref="A132:B132"/>
    <mergeCell ref="A110:B110"/>
    <mergeCell ref="A73:B73"/>
    <mergeCell ref="A74:B74"/>
    <mergeCell ref="A208:B208"/>
    <mergeCell ref="A209:B209"/>
    <mergeCell ref="A220:B220"/>
    <mergeCell ref="A13:B13"/>
    <mergeCell ref="A11:B11"/>
    <mergeCell ref="A12:B12"/>
    <mergeCell ref="A1:F1"/>
    <mergeCell ref="A2:F2"/>
    <mergeCell ref="A5:F5"/>
    <mergeCell ref="A6:F6"/>
    <mergeCell ref="A10:B10"/>
    <mergeCell ref="A4:F4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"/>
  <sheetViews>
    <sheetView tabSelected="1" topLeftCell="A67" zoomScale="140" zoomScaleNormal="140" workbookViewId="0">
      <selection activeCell="F10" sqref="F10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38.28515625" style="21" customWidth="1"/>
    <col min="4" max="4" width="12.5703125" style="21" customWidth="1"/>
    <col min="5" max="6" width="14.140625" style="21" customWidth="1"/>
    <col min="7" max="7" width="10.85546875" style="156" customWidth="1"/>
    <col min="8" max="16384" width="9.140625" style="21"/>
  </cols>
  <sheetData>
    <row r="1" spans="1:8" ht="13.35" customHeight="1" x14ac:dyDescent="0.2">
      <c r="A1" s="22" t="s">
        <v>91</v>
      </c>
      <c r="B1" s="22"/>
      <c r="C1" s="22"/>
      <c r="D1" s="22"/>
      <c r="E1" s="22"/>
      <c r="F1" s="22"/>
      <c r="G1" s="22"/>
    </row>
    <row r="2" spans="1:8" ht="13.35" customHeight="1" x14ac:dyDescent="0.2">
      <c r="A2" s="265" t="s">
        <v>237</v>
      </c>
      <c r="B2" s="266"/>
      <c r="C2" s="266"/>
      <c r="D2" s="266"/>
      <c r="E2" s="266"/>
      <c r="F2" s="266"/>
      <c r="G2" s="266"/>
      <c r="H2" s="266"/>
    </row>
    <row r="3" spans="1:8" ht="13.35" customHeight="1" x14ac:dyDescent="0.2">
      <c r="A3" s="267" t="s">
        <v>238</v>
      </c>
      <c r="B3" s="267"/>
      <c r="C3" s="267"/>
      <c r="D3" s="267"/>
      <c r="E3" s="267"/>
      <c r="F3" s="267"/>
      <c r="G3" s="224"/>
      <c r="H3" s="224"/>
    </row>
    <row r="4" spans="1:8" ht="13.35" customHeight="1" x14ac:dyDescent="0.2">
      <c r="A4" s="265" t="s">
        <v>239</v>
      </c>
      <c r="B4" s="266"/>
      <c r="C4" s="266"/>
      <c r="D4" s="266"/>
      <c r="E4" s="266"/>
      <c r="F4" s="266"/>
      <c r="G4" s="266"/>
      <c r="H4" s="266"/>
    </row>
    <row r="5" spans="1:8" ht="13.35" customHeight="1" x14ac:dyDescent="0.2">
      <c r="A5" s="161"/>
      <c r="B5" s="161"/>
      <c r="C5" s="161"/>
    </row>
    <row r="6" spans="1:8" ht="13.35" customHeight="1" x14ac:dyDescent="0.2"/>
    <row r="7" spans="1:8" ht="13.35" customHeight="1" x14ac:dyDescent="0.2">
      <c r="A7" s="257" t="s">
        <v>171</v>
      </c>
      <c r="B7" s="257"/>
      <c r="C7" s="257"/>
      <c r="D7" s="257"/>
      <c r="E7" s="257"/>
      <c r="F7" s="257"/>
      <c r="G7" s="257"/>
    </row>
    <row r="8" spans="1:8" ht="13.35" customHeight="1" x14ac:dyDescent="0.2"/>
    <row r="9" spans="1:8" ht="7.15" customHeight="1" x14ac:dyDescent="0.2"/>
    <row r="10" spans="1:8" s="43" customFormat="1" ht="30.75" customHeight="1" x14ac:dyDescent="0.2">
      <c r="A10" s="345" t="s">
        <v>100</v>
      </c>
      <c r="B10" s="346"/>
      <c r="C10" s="62" t="s">
        <v>0</v>
      </c>
      <c r="D10" s="61" t="s">
        <v>260</v>
      </c>
      <c r="E10" s="61" t="s">
        <v>236</v>
      </c>
      <c r="F10" s="61" t="s">
        <v>235</v>
      </c>
      <c r="G10" s="157" t="s">
        <v>90</v>
      </c>
    </row>
    <row r="11" spans="1:8" s="8" customFormat="1" ht="9" customHeight="1" x14ac:dyDescent="0.2">
      <c r="A11" s="222"/>
      <c r="B11" s="223"/>
      <c r="C11" s="63">
        <v>1</v>
      </c>
      <c r="D11" s="63">
        <v>2</v>
      </c>
      <c r="E11" s="63"/>
      <c r="F11" s="63">
        <v>3</v>
      </c>
      <c r="G11" s="158" t="s">
        <v>194</v>
      </c>
    </row>
    <row r="12" spans="1:8" s="3" customFormat="1" ht="12.75" customHeight="1" x14ac:dyDescent="0.2">
      <c r="A12" s="332" t="s">
        <v>129</v>
      </c>
      <c r="B12" s="335"/>
      <c r="C12" s="336"/>
      <c r="D12" s="116">
        <f>D13+D18+D23+D27+D39+D44+D48</f>
        <v>1140934.21</v>
      </c>
      <c r="E12" s="116">
        <f>+E13+E18+E23+E27+E39+E44+E48</f>
        <v>1317109.1499999999</v>
      </c>
      <c r="F12" s="116">
        <f>F13+F18+F23+F27+F39+F44+F48</f>
        <v>1315130.3699999999</v>
      </c>
      <c r="G12" s="116">
        <f>+F12/E12*100</f>
        <v>99.849763400398516</v>
      </c>
    </row>
    <row r="13" spans="1:8" s="8" customFormat="1" ht="12.75" customHeight="1" x14ac:dyDescent="0.2">
      <c r="A13" s="318" t="s">
        <v>246</v>
      </c>
      <c r="B13" s="319"/>
      <c r="C13" s="319"/>
      <c r="D13" s="110">
        <f t="shared" ref="D13:F14" si="0">D14</f>
        <v>63069.21</v>
      </c>
      <c r="E13" s="110">
        <f>+E14</f>
        <v>63069.21</v>
      </c>
      <c r="F13" s="110">
        <f t="shared" si="0"/>
        <v>64755.46</v>
      </c>
      <c r="G13" s="110">
        <f>+F13/E13*100</f>
        <v>102.67365010597089</v>
      </c>
    </row>
    <row r="14" spans="1:8" s="8" customFormat="1" ht="12.75" customHeight="1" x14ac:dyDescent="0.2">
      <c r="A14" s="45">
        <v>67</v>
      </c>
      <c r="B14" s="46" t="s">
        <v>79</v>
      </c>
      <c r="C14" s="46"/>
      <c r="D14" s="44">
        <f t="shared" si="0"/>
        <v>63069.21</v>
      </c>
      <c r="E14" s="44">
        <f>+E15</f>
        <v>63069.21</v>
      </c>
      <c r="F14" s="44">
        <f t="shared" si="0"/>
        <v>64755.46</v>
      </c>
      <c r="G14" s="44">
        <f>+F14/E14*100</f>
        <v>102.67365010597089</v>
      </c>
    </row>
    <row r="15" spans="1:8" s="8" customFormat="1" ht="24.75" customHeight="1" x14ac:dyDescent="0.2">
      <c r="A15" s="111">
        <v>671</v>
      </c>
      <c r="B15" s="320" t="s">
        <v>125</v>
      </c>
      <c r="C15" s="321"/>
      <c r="D15" s="112">
        <f>D16+D17</f>
        <v>63069.21</v>
      </c>
      <c r="E15" s="112">
        <f>+E16</f>
        <v>63069.21</v>
      </c>
      <c r="F15" s="112">
        <f>F16+F17</f>
        <v>64755.46</v>
      </c>
      <c r="G15" s="44">
        <f t="shared" ref="G15:G16" si="1">+F15/E15*100</f>
        <v>102.67365010597089</v>
      </c>
    </row>
    <row r="16" spans="1:8" s="5" customFormat="1" ht="12.75" customHeight="1" x14ac:dyDescent="0.2">
      <c r="A16" s="10">
        <v>6711</v>
      </c>
      <c r="B16" s="11" t="s">
        <v>80</v>
      </c>
      <c r="C16" s="11"/>
      <c r="D16" s="47">
        <v>63069.21</v>
      </c>
      <c r="E16" s="47">
        <v>63069.21</v>
      </c>
      <c r="F16" s="47">
        <v>64755.46</v>
      </c>
      <c r="G16" s="44">
        <f t="shared" si="1"/>
        <v>102.67365010597089</v>
      </c>
    </row>
    <row r="17" spans="1:7" s="5" customFormat="1" ht="12.75" customHeight="1" x14ac:dyDescent="0.2">
      <c r="A17" s="225">
        <v>6711</v>
      </c>
      <c r="B17" s="11" t="s">
        <v>80</v>
      </c>
      <c r="C17" s="241"/>
      <c r="D17" s="47">
        <v>0</v>
      </c>
      <c r="E17" s="47"/>
      <c r="F17" s="47"/>
      <c r="G17" s="47"/>
    </row>
    <row r="18" spans="1:7" s="8" customFormat="1" ht="12.75" customHeight="1" x14ac:dyDescent="0.2">
      <c r="A18" s="318" t="s">
        <v>247</v>
      </c>
      <c r="B18" s="319"/>
      <c r="C18" s="319"/>
      <c r="D18" s="110">
        <f t="shared" ref="D18:F19" si="2">D19</f>
        <v>5000</v>
      </c>
      <c r="E18" s="110">
        <f>+E19</f>
        <v>6000</v>
      </c>
      <c r="F18" s="110">
        <f t="shared" si="2"/>
        <v>4902.1900000000005</v>
      </c>
      <c r="G18" s="110">
        <f>+F18/E18*100</f>
        <v>81.703166666666675</v>
      </c>
    </row>
    <row r="19" spans="1:7" s="8" customFormat="1" ht="12.75" customHeight="1" x14ac:dyDescent="0.2">
      <c r="A19" s="34">
        <v>66</v>
      </c>
      <c r="B19" s="48" t="s">
        <v>81</v>
      </c>
      <c r="C19" s="48"/>
      <c r="D19" s="44">
        <f t="shared" si="2"/>
        <v>5000</v>
      </c>
      <c r="E19" s="44">
        <f>+E20</f>
        <v>6000</v>
      </c>
      <c r="F19" s="44">
        <f t="shared" si="2"/>
        <v>4902.1900000000005</v>
      </c>
      <c r="G19" s="44">
        <f t="shared" ref="G19:G22" si="3">+F19/E19*100</f>
        <v>81.703166666666675</v>
      </c>
    </row>
    <row r="20" spans="1:7" s="8" customFormat="1" ht="12.75" customHeight="1" x14ac:dyDescent="0.2">
      <c r="A20" s="34">
        <v>661</v>
      </c>
      <c r="B20" s="48" t="s">
        <v>143</v>
      </c>
      <c r="C20" s="48"/>
      <c r="D20" s="44">
        <f>SUM(D21:D22)</f>
        <v>5000</v>
      </c>
      <c r="E20" s="44">
        <f>+E21+E22</f>
        <v>6000</v>
      </c>
      <c r="F20" s="44">
        <f>SUM(F21:F22)</f>
        <v>4902.1900000000005</v>
      </c>
      <c r="G20" s="44">
        <f t="shared" si="3"/>
        <v>81.703166666666675</v>
      </c>
    </row>
    <row r="21" spans="1:7" s="5" customFormat="1" ht="12.75" customHeight="1" x14ac:dyDescent="0.2">
      <c r="A21" s="12">
        <v>6614</v>
      </c>
      <c r="B21" s="339" t="s">
        <v>202</v>
      </c>
      <c r="C21" s="340"/>
      <c r="D21" s="47">
        <v>1400</v>
      </c>
      <c r="E21" s="47">
        <v>500</v>
      </c>
      <c r="F21" s="47">
        <v>461.52</v>
      </c>
      <c r="G21" s="44">
        <f t="shared" si="3"/>
        <v>92.304000000000002</v>
      </c>
    </row>
    <row r="22" spans="1:7" s="5" customFormat="1" ht="12.75" customHeight="1" x14ac:dyDescent="0.2">
      <c r="A22" s="4" t="s">
        <v>49</v>
      </c>
      <c r="B22" s="339" t="s">
        <v>142</v>
      </c>
      <c r="C22" s="340"/>
      <c r="D22" s="47">
        <v>3600</v>
      </c>
      <c r="E22" s="47">
        <v>5500</v>
      </c>
      <c r="F22" s="47">
        <v>4440.67</v>
      </c>
      <c r="G22" s="44">
        <f t="shared" si="3"/>
        <v>80.739454545454549</v>
      </c>
    </row>
    <row r="23" spans="1:7" s="8" customFormat="1" ht="12.75" customHeight="1" x14ac:dyDescent="0.2">
      <c r="A23" s="318" t="s">
        <v>248</v>
      </c>
      <c r="B23" s="319"/>
      <c r="C23" s="319"/>
      <c r="D23" s="110">
        <f t="shared" ref="D23:F24" si="4">D24</f>
        <v>1000</v>
      </c>
      <c r="E23" s="110">
        <f>+E24</f>
        <v>906.2</v>
      </c>
      <c r="F23" s="110">
        <f t="shared" si="4"/>
        <v>906.2</v>
      </c>
      <c r="G23" s="110">
        <f>+F23/E23*100</f>
        <v>100</v>
      </c>
    </row>
    <row r="24" spans="1:7" s="8" customFormat="1" ht="24.75" customHeight="1" x14ac:dyDescent="0.2">
      <c r="A24" s="49">
        <v>65</v>
      </c>
      <c r="B24" s="322" t="s">
        <v>82</v>
      </c>
      <c r="C24" s="323"/>
      <c r="D24" s="112">
        <f t="shared" si="4"/>
        <v>1000</v>
      </c>
      <c r="E24" s="112">
        <f>+E25</f>
        <v>906.2</v>
      </c>
      <c r="F24" s="112">
        <f t="shared" si="4"/>
        <v>906.2</v>
      </c>
      <c r="G24" s="44">
        <f t="shared" ref="G24:G26" si="5">+F24/E24*100</f>
        <v>100</v>
      </c>
    </row>
    <row r="25" spans="1:7" s="8" customFormat="1" ht="12.75" customHeight="1" x14ac:dyDescent="0.2">
      <c r="A25" s="49">
        <v>652</v>
      </c>
      <c r="B25" s="324" t="s">
        <v>144</v>
      </c>
      <c r="C25" s="325"/>
      <c r="D25" s="112">
        <f>D26</f>
        <v>1000</v>
      </c>
      <c r="E25" s="112">
        <f>+E26</f>
        <v>906.2</v>
      </c>
      <c r="F25" s="112">
        <f>F26</f>
        <v>906.2</v>
      </c>
      <c r="G25" s="44">
        <f t="shared" si="5"/>
        <v>100</v>
      </c>
    </row>
    <row r="26" spans="1:7" s="5" customFormat="1" ht="12.75" customHeight="1" x14ac:dyDescent="0.2">
      <c r="A26" s="4" t="s">
        <v>50</v>
      </c>
      <c r="B26" s="339" t="s">
        <v>51</v>
      </c>
      <c r="C26" s="340"/>
      <c r="D26" s="47">
        <v>1000</v>
      </c>
      <c r="E26" s="47">
        <v>906.2</v>
      </c>
      <c r="F26" s="47">
        <v>906.2</v>
      </c>
      <c r="G26" s="44">
        <f t="shared" si="5"/>
        <v>100</v>
      </c>
    </row>
    <row r="27" spans="1:7" s="8" customFormat="1" ht="12.75" customHeight="1" x14ac:dyDescent="0.2">
      <c r="A27" s="318" t="s">
        <v>249</v>
      </c>
      <c r="B27" s="319"/>
      <c r="C27" s="319"/>
      <c r="D27" s="110">
        <f>D28</f>
        <v>1054750</v>
      </c>
      <c r="E27" s="110">
        <f>+E28</f>
        <v>1220850</v>
      </c>
      <c r="F27" s="110">
        <f>F28</f>
        <v>1220437.21</v>
      </c>
      <c r="G27" s="110">
        <f>+F27/E27*100</f>
        <v>99.966188311422371</v>
      </c>
    </row>
    <row r="28" spans="1:7" s="8" customFormat="1" ht="24.75" customHeight="1" x14ac:dyDescent="0.2">
      <c r="A28" s="49">
        <v>63</v>
      </c>
      <c r="B28" s="322" t="s">
        <v>83</v>
      </c>
      <c r="C28" s="323"/>
      <c r="D28" s="112">
        <f>D29+D31+D37+D35</f>
        <v>1054750</v>
      </c>
      <c r="E28" s="112">
        <f>+E31</f>
        <v>1220850</v>
      </c>
      <c r="F28" s="112">
        <f>F29+F31+F37+F35</f>
        <v>1220437.21</v>
      </c>
      <c r="G28" s="44">
        <f t="shared" ref="G28:G38" si="6">+F28/E28*100</f>
        <v>99.966188311422371</v>
      </c>
    </row>
    <row r="29" spans="1:7" s="8" customFormat="1" ht="12.75" customHeight="1" x14ac:dyDescent="0.2">
      <c r="A29" s="34">
        <v>634</v>
      </c>
      <c r="B29" s="316" t="s">
        <v>185</v>
      </c>
      <c r="C29" s="317"/>
      <c r="D29" s="44">
        <f>D30</f>
        <v>0</v>
      </c>
      <c r="E29" s="44">
        <v>0</v>
      </c>
      <c r="F29" s="44">
        <f>F30</f>
        <v>0</v>
      </c>
      <c r="G29" s="44" t="e">
        <f t="shared" si="6"/>
        <v>#DIV/0!</v>
      </c>
    </row>
    <row r="30" spans="1:7" s="5" customFormat="1" ht="12.75" customHeight="1" x14ac:dyDescent="0.2">
      <c r="A30" s="12">
        <v>6341</v>
      </c>
      <c r="B30" s="347" t="s">
        <v>186</v>
      </c>
      <c r="C30" s="348"/>
      <c r="D30" s="47">
        <v>0</v>
      </c>
      <c r="E30" s="47">
        <v>0</v>
      </c>
      <c r="F30" s="47">
        <v>0</v>
      </c>
      <c r="G30" s="44" t="e">
        <f t="shared" si="6"/>
        <v>#DIV/0!</v>
      </c>
    </row>
    <row r="31" spans="1:7" s="8" customFormat="1" ht="24.75" customHeight="1" x14ac:dyDescent="0.2">
      <c r="A31" s="49">
        <v>636</v>
      </c>
      <c r="B31" s="322" t="s">
        <v>118</v>
      </c>
      <c r="C31" s="323"/>
      <c r="D31" s="112">
        <f>SUM(D32:D34)</f>
        <v>1054750</v>
      </c>
      <c r="E31" s="112">
        <f>+E32+E33+E34</f>
        <v>1220850</v>
      </c>
      <c r="F31" s="112">
        <f>SUM(F32:F34)</f>
        <v>1220437.21</v>
      </c>
      <c r="G31" s="44">
        <f t="shared" si="6"/>
        <v>99.966188311422371</v>
      </c>
    </row>
    <row r="32" spans="1:7" s="43" customFormat="1" ht="24.75" customHeight="1" x14ac:dyDescent="0.2">
      <c r="A32" s="113" t="s">
        <v>52</v>
      </c>
      <c r="B32" s="312" t="s">
        <v>145</v>
      </c>
      <c r="C32" s="313"/>
      <c r="D32" s="114">
        <v>0</v>
      </c>
      <c r="E32" s="114">
        <v>0</v>
      </c>
      <c r="F32" s="114">
        <v>0</v>
      </c>
      <c r="G32" s="44" t="e">
        <f t="shared" si="6"/>
        <v>#DIV/0!</v>
      </c>
    </row>
    <row r="33" spans="1:7" s="43" customFormat="1" ht="12.75" customHeight="1" x14ac:dyDescent="0.2">
      <c r="A33" s="113" t="s">
        <v>52</v>
      </c>
      <c r="B33" s="312" t="s">
        <v>180</v>
      </c>
      <c r="C33" s="313"/>
      <c r="D33" s="114">
        <v>1051750</v>
      </c>
      <c r="E33" s="114">
        <v>1220350</v>
      </c>
      <c r="F33" s="114">
        <f>1163414.86+43120.95+13460.9</f>
        <v>1219996.71</v>
      </c>
      <c r="G33" s="44">
        <f t="shared" si="6"/>
        <v>99.971050108575412</v>
      </c>
    </row>
    <row r="34" spans="1:7" s="5" customFormat="1" ht="24.75" customHeight="1" x14ac:dyDescent="0.2">
      <c r="A34" s="39">
        <v>6362</v>
      </c>
      <c r="B34" s="312" t="s">
        <v>53</v>
      </c>
      <c r="C34" s="313"/>
      <c r="D34" s="114">
        <v>3000</v>
      </c>
      <c r="E34" s="114">
        <v>500</v>
      </c>
      <c r="F34" s="114">
        <v>440.5</v>
      </c>
      <c r="G34" s="44">
        <f t="shared" si="6"/>
        <v>88.1</v>
      </c>
    </row>
    <row r="35" spans="1:7" s="8" customFormat="1" ht="12.75" customHeight="1" x14ac:dyDescent="0.2">
      <c r="A35" s="49">
        <v>638</v>
      </c>
      <c r="B35" s="326" t="s">
        <v>160</v>
      </c>
      <c r="C35" s="327"/>
      <c r="D35" s="112">
        <f>D36</f>
        <v>0</v>
      </c>
      <c r="E35" s="112">
        <v>0</v>
      </c>
      <c r="F35" s="112">
        <f>F36</f>
        <v>0</v>
      </c>
      <c r="G35" s="44" t="e">
        <f t="shared" si="6"/>
        <v>#DIV/0!</v>
      </c>
    </row>
    <row r="36" spans="1:7" s="5" customFormat="1" ht="24.75" customHeight="1" x14ac:dyDescent="0.2">
      <c r="A36" s="39">
        <v>6381</v>
      </c>
      <c r="B36" s="312" t="s">
        <v>161</v>
      </c>
      <c r="C36" s="313"/>
      <c r="D36" s="114">
        <v>0</v>
      </c>
      <c r="E36" s="114">
        <v>0</v>
      </c>
      <c r="F36" s="114">
        <v>0</v>
      </c>
      <c r="G36" s="44" t="e">
        <f t="shared" si="6"/>
        <v>#DIV/0!</v>
      </c>
    </row>
    <row r="37" spans="1:7" s="8" customFormat="1" ht="30" customHeight="1" x14ac:dyDescent="0.2">
      <c r="A37" s="49">
        <v>639</v>
      </c>
      <c r="B37" s="322" t="s">
        <v>119</v>
      </c>
      <c r="C37" s="323"/>
      <c r="D37" s="112">
        <f>D38</f>
        <v>0</v>
      </c>
      <c r="E37" s="112">
        <v>0</v>
      </c>
      <c r="F37" s="112">
        <f>F38</f>
        <v>0</v>
      </c>
      <c r="G37" s="44" t="e">
        <f t="shared" si="6"/>
        <v>#DIV/0!</v>
      </c>
    </row>
    <row r="38" spans="1:7" s="43" customFormat="1" ht="24.75" customHeight="1" x14ac:dyDescent="0.2">
      <c r="A38" s="39">
        <v>6393</v>
      </c>
      <c r="B38" s="312" t="s">
        <v>146</v>
      </c>
      <c r="C38" s="313"/>
      <c r="D38" s="114">
        <v>0</v>
      </c>
      <c r="E38" s="114">
        <v>0</v>
      </c>
      <c r="F38" s="114">
        <v>0</v>
      </c>
      <c r="G38" s="44" t="e">
        <f t="shared" si="6"/>
        <v>#DIV/0!</v>
      </c>
    </row>
    <row r="39" spans="1:7" s="8" customFormat="1" ht="12.75" customHeight="1" x14ac:dyDescent="0.2">
      <c r="A39" s="318" t="s">
        <v>250</v>
      </c>
      <c r="B39" s="319"/>
      <c r="C39" s="319"/>
      <c r="D39" s="110">
        <f t="shared" ref="D39:F40" si="7">D40</f>
        <v>700</v>
      </c>
      <c r="E39" s="110">
        <f>+E40</f>
        <v>2892.95</v>
      </c>
      <c r="F39" s="110">
        <f t="shared" si="7"/>
        <v>3283.16</v>
      </c>
      <c r="G39" s="110">
        <f>+F39/E39*100</f>
        <v>113.48830778271315</v>
      </c>
    </row>
    <row r="40" spans="1:7" s="8" customFormat="1" ht="12.75" customHeight="1" x14ac:dyDescent="0.2">
      <c r="A40" s="34">
        <v>66</v>
      </c>
      <c r="B40" s="316" t="s">
        <v>84</v>
      </c>
      <c r="C40" s="317"/>
      <c r="D40" s="44">
        <f t="shared" si="7"/>
        <v>700</v>
      </c>
      <c r="E40" s="44">
        <f>+E41</f>
        <v>2892.95</v>
      </c>
      <c r="F40" s="44">
        <f t="shared" si="7"/>
        <v>3283.16</v>
      </c>
      <c r="G40" s="44">
        <f t="shared" ref="G40:G43" si="8">+F40/E40*100</f>
        <v>113.48830778271315</v>
      </c>
    </row>
    <row r="41" spans="1:7" s="115" customFormat="1" ht="24.75" customHeight="1" x14ac:dyDescent="0.2">
      <c r="A41" s="49">
        <v>663</v>
      </c>
      <c r="B41" s="322" t="s">
        <v>147</v>
      </c>
      <c r="C41" s="323"/>
      <c r="D41" s="112">
        <f>SUM(D42:D43)</f>
        <v>700</v>
      </c>
      <c r="E41" s="112">
        <f>+E42+E43</f>
        <v>2892.95</v>
      </c>
      <c r="F41" s="112">
        <f>SUM(F42:F43)</f>
        <v>3283.16</v>
      </c>
      <c r="G41" s="44">
        <f t="shared" si="8"/>
        <v>113.48830778271315</v>
      </c>
    </row>
    <row r="42" spans="1:7" s="5" customFormat="1" ht="12.75" customHeight="1" x14ac:dyDescent="0.2">
      <c r="A42" s="12" t="s">
        <v>54</v>
      </c>
      <c r="B42" s="339" t="s">
        <v>55</v>
      </c>
      <c r="C42" s="340"/>
      <c r="D42" s="47">
        <v>700</v>
      </c>
      <c r="E42" s="47">
        <v>2082.9499999999998</v>
      </c>
      <c r="F42" s="47">
        <v>2473.16</v>
      </c>
      <c r="G42" s="44">
        <f t="shared" si="8"/>
        <v>118.73352696896229</v>
      </c>
    </row>
    <row r="43" spans="1:7" s="5" customFormat="1" ht="12.75" customHeight="1" x14ac:dyDescent="0.2">
      <c r="A43" s="12">
        <v>6632</v>
      </c>
      <c r="B43" s="339" t="s">
        <v>89</v>
      </c>
      <c r="C43" s="340"/>
      <c r="D43" s="47">
        <v>0</v>
      </c>
      <c r="E43" s="47">
        <v>810</v>
      </c>
      <c r="F43" s="47">
        <v>810</v>
      </c>
      <c r="G43" s="44">
        <f t="shared" si="8"/>
        <v>100</v>
      </c>
    </row>
    <row r="44" spans="1:7" s="8" customFormat="1" ht="12.75" customHeight="1" x14ac:dyDescent="0.2">
      <c r="A44" s="318" t="s">
        <v>177</v>
      </c>
      <c r="B44" s="319"/>
      <c r="C44" s="319"/>
      <c r="D44" s="110">
        <f t="shared" ref="D44:F45" si="9">D45</f>
        <v>0</v>
      </c>
      <c r="E44" s="110">
        <v>0</v>
      </c>
      <c r="F44" s="110">
        <f t="shared" si="9"/>
        <v>0</v>
      </c>
      <c r="G44" s="110" t="e">
        <f>+F44/E44*100</f>
        <v>#DIV/0!</v>
      </c>
    </row>
    <row r="45" spans="1:7" s="8" customFormat="1" ht="12.75" customHeight="1" x14ac:dyDescent="0.2">
      <c r="A45" s="34">
        <v>72</v>
      </c>
      <c r="B45" s="337" t="s">
        <v>85</v>
      </c>
      <c r="C45" s="338"/>
      <c r="D45" s="44">
        <f t="shared" si="9"/>
        <v>0</v>
      </c>
      <c r="E45" s="44">
        <v>0</v>
      </c>
      <c r="F45" s="44">
        <f t="shared" si="9"/>
        <v>0</v>
      </c>
      <c r="G45" s="44" t="e">
        <f t="shared" ref="G45:G47" si="10">+F45/E45*100</f>
        <v>#DIV/0!</v>
      </c>
    </row>
    <row r="46" spans="1:7" s="8" customFormat="1" ht="12.75" customHeight="1" x14ac:dyDescent="0.2">
      <c r="A46" s="34">
        <v>721</v>
      </c>
      <c r="B46" s="337" t="s">
        <v>128</v>
      </c>
      <c r="C46" s="338"/>
      <c r="D46" s="44">
        <f>D47</f>
        <v>0</v>
      </c>
      <c r="E46" s="44">
        <v>0</v>
      </c>
      <c r="F46" s="44">
        <f>F47</f>
        <v>0</v>
      </c>
      <c r="G46" s="44" t="e">
        <f t="shared" si="10"/>
        <v>#DIV/0!</v>
      </c>
    </row>
    <row r="47" spans="1:7" s="5" customFormat="1" ht="12.75" customHeight="1" x14ac:dyDescent="0.2">
      <c r="A47" s="40" t="s">
        <v>56</v>
      </c>
      <c r="B47" s="343" t="s">
        <v>57</v>
      </c>
      <c r="C47" s="344"/>
      <c r="D47" s="50">
        <v>0</v>
      </c>
      <c r="E47" s="50">
        <v>0</v>
      </c>
      <c r="F47" s="50">
        <v>0</v>
      </c>
      <c r="G47" s="44" t="e">
        <f t="shared" si="10"/>
        <v>#DIV/0!</v>
      </c>
    </row>
    <row r="48" spans="1:7" s="5" customFormat="1" ht="12.75" customHeight="1" x14ac:dyDescent="0.2">
      <c r="A48" s="294" t="s">
        <v>251</v>
      </c>
      <c r="B48" s="295"/>
      <c r="C48" s="295"/>
      <c r="D48" s="52">
        <f>D49+D52</f>
        <v>16415</v>
      </c>
      <c r="E48" s="52">
        <f>+E49+E52</f>
        <v>23390.79</v>
      </c>
      <c r="F48" s="52">
        <f>F49+F52</f>
        <v>20846.150000000001</v>
      </c>
      <c r="G48" s="110">
        <f>+F48/E48*100</f>
        <v>89.121188296761247</v>
      </c>
    </row>
    <row r="49" spans="1:7" s="5" customFormat="1" ht="24.75" customHeight="1" x14ac:dyDescent="0.2">
      <c r="A49" s="49">
        <v>63</v>
      </c>
      <c r="B49" s="322" t="s">
        <v>83</v>
      </c>
      <c r="C49" s="323"/>
      <c r="D49" s="112">
        <f t="shared" ref="D49:F49" si="11">D50</f>
        <v>14855</v>
      </c>
      <c r="E49" s="112">
        <f>+E50</f>
        <v>17029.09</v>
      </c>
      <c r="F49" s="112">
        <f t="shared" si="11"/>
        <v>15780.48</v>
      </c>
      <c r="G49" s="44">
        <f t="shared" ref="G49:G55" si="12">+F49/E49*100</f>
        <v>92.667782013014204</v>
      </c>
    </row>
    <row r="50" spans="1:7" s="5" customFormat="1" ht="25.5" customHeight="1" x14ac:dyDescent="0.2">
      <c r="A50" s="49">
        <v>639</v>
      </c>
      <c r="B50" s="322" t="s">
        <v>119</v>
      </c>
      <c r="C50" s="323"/>
      <c r="D50" s="112">
        <f>D51</f>
        <v>14855</v>
      </c>
      <c r="E50" s="112">
        <f>+E51</f>
        <v>17029.09</v>
      </c>
      <c r="F50" s="112">
        <f>F51</f>
        <v>15780.48</v>
      </c>
      <c r="G50" s="44">
        <f t="shared" si="12"/>
        <v>92.667782013014204</v>
      </c>
    </row>
    <row r="51" spans="1:7" s="5" customFormat="1" ht="24.75" customHeight="1" x14ac:dyDescent="0.2">
      <c r="A51" s="39">
        <v>6393</v>
      </c>
      <c r="B51" s="312" t="s">
        <v>146</v>
      </c>
      <c r="C51" s="313"/>
      <c r="D51" s="114">
        <f>55+14800</f>
        <v>14855</v>
      </c>
      <c r="E51" s="114">
        <f>4873.09+12156</f>
        <v>17029.09</v>
      </c>
      <c r="F51" s="114">
        <f>6038.09+9742.39</f>
        <v>15780.48</v>
      </c>
      <c r="G51" s="44">
        <f t="shared" si="12"/>
        <v>92.667782013014204</v>
      </c>
    </row>
    <row r="52" spans="1:7" s="5" customFormat="1" ht="15.75" customHeight="1" x14ac:dyDescent="0.2">
      <c r="A52" s="45">
        <v>67</v>
      </c>
      <c r="B52" s="46" t="s">
        <v>79</v>
      </c>
      <c r="C52" s="46"/>
      <c r="D52" s="44">
        <f t="shared" ref="D52:F52" si="13">D53</f>
        <v>1560</v>
      </c>
      <c r="E52" s="44">
        <f>+E53</f>
        <v>6361.7</v>
      </c>
      <c r="F52" s="44">
        <f t="shared" si="13"/>
        <v>5065.67</v>
      </c>
      <c r="G52" s="44">
        <f t="shared" si="12"/>
        <v>79.627615260071991</v>
      </c>
    </row>
    <row r="53" spans="1:7" s="5" customFormat="1" ht="22.5" customHeight="1" x14ac:dyDescent="0.2">
      <c r="A53" s="111">
        <v>671</v>
      </c>
      <c r="B53" s="320" t="s">
        <v>125</v>
      </c>
      <c r="C53" s="321"/>
      <c r="D53" s="112">
        <f>D55</f>
        <v>1560</v>
      </c>
      <c r="E53" s="112">
        <f>+E55</f>
        <v>6361.7</v>
      </c>
      <c r="F53" s="112">
        <f>+F54+F55</f>
        <v>5065.67</v>
      </c>
      <c r="G53" s="44">
        <f t="shared" si="12"/>
        <v>79.627615260071991</v>
      </c>
    </row>
    <row r="54" spans="1:7" s="5" customFormat="1" ht="22.5" customHeight="1" x14ac:dyDescent="0.2">
      <c r="A54" s="10">
        <v>6711</v>
      </c>
      <c r="B54" s="11" t="s">
        <v>80</v>
      </c>
      <c r="C54" s="11"/>
      <c r="D54" s="112"/>
      <c r="E54" s="112"/>
      <c r="F54" s="114"/>
      <c r="G54" s="44"/>
    </row>
    <row r="55" spans="1:7" s="5" customFormat="1" x14ac:dyDescent="0.2">
      <c r="A55" s="10">
        <v>6711</v>
      </c>
      <c r="B55" s="11" t="s">
        <v>80</v>
      </c>
      <c r="C55" s="11"/>
      <c r="D55" s="47">
        <f>1500+60</f>
        <v>1560</v>
      </c>
      <c r="E55" s="47">
        <f>1000+2970.7+95+2296</f>
        <v>6361.7</v>
      </c>
      <c r="F55" s="47">
        <f>818.97+76+2970.7+1200</f>
        <v>5065.67</v>
      </c>
      <c r="G55" s="44">
        <f t="shared" si="12"/>
        <v>79.627615260071991</v>
      </c>
    </row>
    <row r="56" spans="1:7" s="5" customFormat="1" x14ac:dyDescent="0.2">
      <c r="A56" s="332" t="s">
        <v>204</v>
      </c>
      <c r="B56" s="333" t="s">
        <v>203</v>
      </c>
      <c r="C56" s="334"/>
      <c r="D56" s="116">
        <f>SUM(D57,D60,D63,D66,D69)</f>
        <v>9000</v>
      </c>
      <c r="E56" s="116">
        <f>+E57+E60+E63+E66</f>
        <v>9177.99</v>
      </c>
      <c r="F56" s="116">
        <f>+F57+F60+F63+F66+F69</f>
        <v>0</v>
      </c>
      <c r="G56" s="116">
        <f>+F56/E56*100</f>
        <v>0</v>
      </c>
    </row>
    <row r="57" spans="1:7" s="5" customFormat="1" ht="12.75" customHeight="1" x14ac:dyDescent="0.2">
      <c r="A57" s="143"/>
      <c r="B57" s="328" t="s">
        <v>175</v>
      </c>
      <c r="C57" s="329"/>
      <c r="D57" s="117">
        <f t="shared" ref="D57:F58" si="14">D58</f>
        <v>4000</v>
      </c>
      <c r="E57" s="117">
        <f>+E58</f>
        <v>4690.21</v>
      </c>
      <c r="F57" s="117">
        <f t="shared" si="14"/>
        <v>0</v>
      </c>
      <c r="G57" s="110">
        <f>+F57/E57*100</f>
        <v>0</v>
      </c>
    </row>
    <row r="58" spans="1:7" s="5" customFormat="1" x14ac:dyDescent="0.2">
      <c r="A58" s="111">
        <v>92</v>
      </c>
      <c r="B58" s="322" t="s">
        <v>130</v>
      </c>
      <c r="C58" s="323"/>
      <c r="D58" s="119">
        <f t="shared" si="14"/>
        <v>4000</v>
      </c>
      <c r="E58" s="119">
        <f>+E59</f>
        <v>4690.21</v>
      </c>
      <c r="F58" s="119">
        <f t="shared" si="14"/>
        <v>0</v>
      </c>
      <c r="G58" s="44">
        <f t="shared" ref="G58:G59" si="15">+F58/E58*100</f>
        <v>0</v>
      </c>
    </row>
    <row r="59" spans="1:7" s="5" customFormat="1" x14ac:dyDescent="0.2">
      <c r="A59" s="120">
        <v>922</v>
      </c>
      <c r="B59" s="330" t="s">
        <v>131</v>
      </c>
      <c r="C59" s="331"/>
      <c r="D59" s="122">
        <v>4000</v>
      </c>
      <c r="E59" s="122">
        <v>4690.21</v>
      </c>
      <c r="F59" s="122">
        <v>0</v>
      </c>
      <c r="G59" s="44">
        <f t="shared" si="15"/>
        <v>0</v>
      </c>
    </row>
    <row r="60" spans="1:7" x14ac:dyDescent="0.2">
      <c r="A60" s="143"/>
      <c r="B60" s="328" t="s">
        <v>178</v>
      </c>
      <c r="C60" s="329"/>
      <c r="D60" s="117">
        <f t="shared" ref="D60:F61" si="16">D61</f>
        <v>2000</v>
      </c>
      <c r="E60" s="117">
        <f>+E61</f>
        <v>2099.38</v>
      </c>
      <c r="F60" s="117">
        <f t="shared" si="16"/>
        <v>0</v>
      </c>
      <c r="G60" s="110">
        <f>+F60/E60*100</f>
        <v>0</v>
      </c>
    </row>
    <row r="61" spans="1:7" x14ac:dyDescent="0.2">
      <c r="A61" s="111">
        <v>92</v>
      </c>
      <c r="B61" s="322" t="s">
        <v>130</v>
      </c>
      <c r="C61" s="323"/>
      <c r="D61" s="119">
        <f t="shared" si="16"/>
        <v>2000</v>
      </c>
      <c r="E61" s="119">
        <f>+E62</f>
        <v>2099.38</v>
      </c>
      <c r="F61" s="119">
        <f t="shared" si="16"/>
        <v>0</v>
      </c>
      <c r="G61" s="44">
        <f t="shared" ref="G61:G62" si="17">+F61/E61*100</f>
        <v>0</v>
      </c>
    </row>
    <row r="62" spans="1:7" x14ac:dyDescent="0.2">
      <c r="A62" s="120">
        <v>922</v>
      </c>
      <c r="B62" s="330" t="s">
        <v>131</v>
      </c>
      <c r="C62" s="331"/>
      <c r="D62" s="122">
        <v>2000</v>
      </c>
      <c r="E62" s="122">
        <v>2099.38</v>
      </c>
      <c r="F62" s="122">
        <v>0</v>
      </c>
      <c r="G62" s="44">
        <f t="shared" si="17"/>
        <v>0</v>
      </c>
    </row>
    <row r="63" spans="1:7" ht="12.75" customHeight="1" x14ac:dyDescent="0.2">
      <c r="A63" s="143"/>
      <c r="B63" s="328" t="s">
        <v>173</v>
      </c>
      <c r="C63" s="329"/>
      <c r="D63" s="117">
        <f t="shared" ref="D63:F64" si="18">D64</f>
        <v>3000</v>
      </c>
      <c r="E63" s="117">
        <f>+E64</f>
        <v>2161.4899999999998</v>
      </c>
      <c r="F63" s="117">
        <f t="shared" si="18"/>
        <v>0</v>
      </c>
      <c r="G63" s="110">
        <f>+F63/E63*100</f>
        <v>0</v>
      </c>
    </row>
    <row r="64" spans="1:7" x14ac:dyDescent="0.2">
      <c r="A64" s="111">
        <v>92</v>
      </c>
      <c r="B64" s="322" t="s">
        <v>130</v>
      </c>
      <c r="C64" s="323"/>
      <c r="D64" s="119">
        <f t="shared" si="18"/>
        <v>3000</v>
      </c>
      <c r="E64" s="119">
        <f>+E65</f>
        <v>2161.4899999999998</v>
      </c>
      <c r="F64" s="119">
        <f t="shared" si="18"/>
        <v>0</v>
      </c>
      <c r="G64" s="44">
        <f t="shared" ref="G64:G65" si="19">+F64/E64*100</f>
        <v>0</v>
      </c>
    </row>
    <row r="65" spans="1:7" x14ac:dyDescent="0.2">
      <c r="A65" s="120">
        <v>922</v>
      </c>
      <c r="B65" s="330" t="s">
        <v>131</v>
      </c>
      <c r="C65" s="331"/>
      <c r="D65" s="122">
        <v>3000</v>
      </c>
      <c r="E65" s="122">
        <v>2161.4899999999998</v>
      </c>
      <c r="F65" s="122">
        <v>0</v>
      </c>
      <c r="G65" s="44">
        <f t="shared" si="19"/>
        <v>0</v>
      </c>
    </row>
    <row r="66" spans="1:7" ht="12.75" customHeight="1" x14ac:dyDescent="0.2">
      <c r="A66" s="143"/>
      <c r="B66" s="328" t="s">
        <v>176</v>
      </c>
      <c r="C66" s="329"/>
      <c r="D66" s="117">
        <f t="shared" ref="D66:F67" si="20">D67</f>
        <v>0</v>
      </c>
      <c r="E66" s="117">
        <f>+E67</f>
        <v>226.91</v>
      </c>
      <c r="F66" s="117">
        <f t="shared" si="20"/>
        <v>0</v>
      </c>
      <c r="G66" s="110">
        <f>+F66/E66*100</f>
        <v>0</v>
      </c>
    </row>
    <row r="67" spans="1:7" x14ac:dyDescent="0.2">
      <c r="A67" s="111">
        <v>92</v>
      </c>
      <c r="B67" s="144"/>
      <c r="C67" s="118" t="s">
        <v>130</v>
      </c>
      <c r="D67" s="119">
        <f t="shared" si="20"/>
        <v>0</v>
      </c>
      <c r="E67" s="119">
        <f>+E68</f>
        <v>226.91</v>
      </c>
      <c r="F67" s="119">
        <f t="shared" si="20"/>
        <v>0</v>
      </c>
      <c r="G67" s="44">
        <f t="shared" ref="G67:G68" si="21">+F67/E67*100</f>
        <v>0</v>
      </c>
    </row>
    <row r="68" spans="1:7" x14ac:dyDescent="0.2">
      <c r="A68" s="120">
        <v>922</v>
      </c>
      <c r="B68" s="145"/>
      <c r="C68" s="121" t="s">
        <v>131</v>
      </c>
      <c r="D68" s="122">
        <v>0</v>
      </c>
      <c r="E68" s="122">
        <v>226.91</v>
      </c>
      <c r="F68" s="122">
        <v>0</v>
      </c>
      <c r="G68" s="44">
        <f t="shared" si="21"/>
        <v>0</v>
      </c>
    </row>
    <row r="69" spans="1:7" x14ac:dyDescent="0.2">
      <c r="A69" s="143"/>
      <c r="B69" s="328" t="s">
        <v>261</v>
      </c>
      <c r="C69" s="329"/>
      <c r="D69" s="117">
        <f t="shared" ref="D69:F70" si="22">D70</f>
        <v>0</v>
      </c>
      <c r="E69" s="117">
        <v>0</v>
      </c>
      <c r="F69" s="117">
        <f t="shared" si="22"/>
        <v>0</v>
      </c>
      <c r="G69" s="110" t="e">
        <f>+F69/E69*100</f>
        <v>#DIV/0!</v>
      </c>
    </row>
    <row r="70" spans="1:7" ht="22.5" customHeight="1" x14ac:dyDescent="0.2">
      <c r="A70" s="111">
        <v>92</v>
      </c>
      <c r="B70" s="322" t="s">
        <v>130</v>
      </c>
      <c r="C70" s="323"/>
      <c r="D70" s="119">
        <f t="shared" si="22"/>
        <v>0</v>
      </c>
      <c r="E70" s="119">
        <v>0</v>
      </c>
      <c r="F70" s="119">
        <f t="shared" si="22"/>
        <v>0</v>
      </c>
      <c r="G70" s="44" t="e">
        <f t="shared" ref="G70:G71" si="23">+F70/E70*100</f>
        <v>#DIV/0!</v>
      </c>
    </row>
    <row r="71" spans="1:7" x14ac:dyDescent="0.2">
      <c r="A71" s="123">
        <v>922</v>
      </c>
      <c r="B71" s="341" t="s">
        <v>131</v>
      </c>
      <c r="C71" s="342"/>
      <c r="D71" s="124">
        <v>0</v>
      </c>
      <c r="E71" s="124">
        <v>0</v>
      </c>
      <c r="F71" s="124">
        <v>0</v>
      </c>
      <c r="G71" s="44" t="e">
        <f t="shared" si="23"/>
        <v>#DIV/0!</v>
      </c>
    </row>
    <row r="72" spans="1:7" ht="15" x14ac:dyDescent="0.25">
      <c r="B72" s="125"/>
      <c r="C72" s="125"/>
      <c r="D72" s="126"/>
      <c r="E72" s="126"/>
      <c r="F72" s="126"/>
      <c r="G72" s="44"/>
    </row>
    <row r="73" spans="1:7" ht="21" customHeight="1" x14ac:dyDescent="0.2">
      <c r="A73" s="146"/>
      <c r="B73" s="314" t="s">
        <v>170</v>
      </c>
      <c r="C73" s="315"/>
      <c r="D73" s="127">
        <f>D12+D56</f>
        <v>1149934.21</v>
      </c>
      <c r="E73" s="127">
        <f>E12+E56</f>
        <v>1326287.1399999999</v>
      </c>
      <c r="F73" s="127">
        <f>F12+F56</f>
        <v>1315130.3699999999</v>
      </c>
      <c r="G73" s="116">
        <f>+F73/E73*100</f>
        <v>99.158796789660499</v>
      </c>
    </row>
  </sheetData>
  <mergeCells count="56">
    <mergeCell ref="B70:C70"/>
    <mergeCell ref="B71:C71"/>
    <mergeCell ref="A7:G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3:C63"/>
    <mergeCell ref="B66:C66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50:C50"/>
    <mergeCell ref="B35:C35"/>
    <mergeCell ref="B69:C69"/>
    <mergeCell ref="B58:C58"/>
    <mergeCell ref="B59:C59"/>
    <mergeCell ref="B61:C61"/>
    <mergeCell ref="B62:C62"/>
    <mergeCell ref="B65:C65"/>
    <mergeCell ref="B64:C64"/>
    <mergeCell ref="B57:C57"/>
    <mergeCell ref="B60:C60"/>
    <mergeCell ref="B53:C53"/>
    <mergeCell ref="A56:C56"/>
    <mergeCell ref="A2:H2"/>
    <mergeCell ref="A3:F3"/>
    <mergeCell ref="A4:H4"/>
    <mergeCell ref="B34:C34"/>
    <mergeCell ref="B73:C73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OPĆI DIO</vt:lpstr>
      <vt:lpstr>opći po ekonomskoj</vt:lpstr>
      <vt:lpstr>Rashodi prema funkcijskoj k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2025-01-29T11:06:12Z</dcterms:modified>
</cp:coreProperties>
</file>