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09CDBD20-5211-484B-A8AB-5D8A442647D0}" xr6:coauthVersionLast="47" xr6:coauthVersionMax="47" xr10:uidLastSave="{00000000-0000-0000-0000-000000000000}"/>
  <bookViews>
    <workbookView xWindow="6825" yWindow="1530" windowWidth="21555" windowHeight="11385" firstSheet="4" activeTab="1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2" l="1"/>
  <c r="E39" i="12"/>
  <c r="E38" i="12"/>
  <c r="E11" i="12"/>
  <c r="E31" i="12"/>
  <c r="E33" i="12"/>
  <c r="E12" i="12"/>
  <c r="E13" i="12"/>
  <c r="E10" i="12"/>
  <c r="E8" i="12"/>
  <c r="E35" i="12"/>
  <c r="E16" i="12"/>
  <c r="E19" i="12"/>
  <c r="E15" i="12"/>
  <c r="E30" i="12"/>
  <c r="E50" i="12"/>
  <c r="E25" i="12"/>
  <c r="E36" i="12"/>
  <c r="E21" i="12"/>
  <c r="E20" i="12"/>
  <c r="E28" i="12"/>
  <c r="E27" i="12"/>
  <c r="E26" i="12"/>
  <c r="E22" i="12"/>
  <c r="C13" i="12" a="1"/>
  <c r="C13" i="12" s="1"/>
  <c r="B13" i="12" a="1"/>
  <c r="B13" i="12" s="1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E11" i="11"/>
  <c r="E18" i="11"/>
  <c r="E12" i="11"/>
  <c r="E13" i="11"/>
  <c r="E10" i="11"/>
  <c r="E8" i="11"/>
  <c r="E42" i="11"/>
  <c r="E17" i="11"/>
  <c r="E19" i="11"/>
  <c r="E38" i="11"/>
  <c r="E35" i="11"/>
  <c r="E26" i="11"/>
  <c r="E46" i="11"/>
  <c r="E32" i="11"/>
  <c r="E49" i="11"/>
  <c r="E15" i="11"/>
  <c r="E20" i="11"/>
  <c r="E29" i="11"/>
  <c r="E28" i="11"/>
  <c r="E27" i="11"/>
  <c r="E23" i="11"/>
  <c r="E16" i="11"/>
  <c r="C13" i="11" a="1"/>
  <c r="C13" i="11" s="1"/>
  <c r="B13" i="11" a="1"/>
  <c r="B13" i="11" s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E29" i="10"/>
  <c r="E62" i="10" s="1"/>
  <c r="E11" i="10"/>
  <c r="E12" i="10"/>
  <c r="E13" i="10"/>
  <c r="E10" i="10"/>
  <c r="E8" i="10"/>
  <c r="E22" i="10"/>
  <c r="E20" i="10"/>
  <c r="E45" i="10"/>
  <c r="E42" i="10"/>
  <c r="E31" i="10"/>
  <c r="E26" i="10"/>
  <c r="E35" i="10"/>
  <c r="E53" i="10"/>
  <c r="E23" i="10"/>
  <c r="E30" i="10"/>
  <c r="E51" i="10"/>
  <c r="E47" i="10"/>
  <c r="E19" i="10"/>
  <c r="C13" i="10" a="1"/>
  <c r="C13" i="10" s="1"/>
  <c r="B13" i="10" a="1"/>
  <c r="B13" i="10" s="1"/>
  <c r="C12" i="10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E11" i="9"/>
  <c r="E25" i="9"/>
  <c r="E24" i="9"/>
  <c r="E19" i="9"/>
  <c r="E26" i="9"/>
  <c r="E37" i="9" s="1"/>
  <c r="C10" i="9" a="1"/>
  <c r="C10" i="9" s="1"/>
  <c r="B10" i="9" a="1"/>
  <c r="B10" i="9" s="1"/>
  <c r="C9" i="9" a="1"/>
  <c r="C9" i="9" s="1"/>
  <c r="B9" i="9" a="1"/>
  <c r="B9" i="9" s="1"/>
  <c r="E21" i="8"/>
  <c r="E22" i="8"/>
  <c r="E31" i="8"/>
  <c r="E33" i="8"/>
  <c r="E18" i="8"/>
  <c r="E17" i="8"/>
  <c r="E24" i="8"/>
  <c r="E23" i="8"/>
  <c r="E19" i="8"/>
  <c r="C10" i="8" a="1"/>
  <c r="C10" i="8" s="1"/>
  <c r="B10" i="8" a="1"/>
  <c r="B10" i="8" s="1"/>
  <c r="C9" i="8" a="1"/>
  <c r="C9" i="8" s="1"/>
  <c r="B9" i="8" a="1"/>
  <c r="B9" i="8" s="1"/>
  <c r="E12" i="7"/>
  <c r="E10" i="7"/>
  <c r="E8" i="7"/>
  <c r="E38" i="7"/>
  <c r="E21" i="7"/>
  <c r="E49" i="7"/>
  <c r="E43" i="7"/>
  <c r="E46" i="7"/>
  <c r="E28" i="7"/>
  <c r="E29" i="7"/>
  <c r="E31" i="7"/>
  <c r="E30" i="7"/>
  <c r="E23" i="7"/>
  <c r="E22" i="7"/>
  <c r="E35" i="7"/>
  <c r="E19" i="7"/>
  <c r="E42" i="7"/>
  <c r="E44" i="7"/>
  <c r="E41" i="7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E64" i="6"/>
  <c r="E50" i="6"/>
  <c r="E28" i="6"/>
  <c r="E31" i="6"/>
  <c r="E21" i="6"/>
  <c r="E15" i="6"/>
  <c r="E23" i="6"/>
  <c r="E22" i="6"/>
  <c r="E34" i="6"/>
  <c r="E33" i="6"/>
  <c r="E32" i="6"/>
  <c r="E11" i="6"/>
  <c r="E8" i="6"/>
  <c r="E12" i="6"/>
  <c r="E10" i="6"/>
  <c r="C13" i="6" a="1"/>
  <c r="C13" i="6" s="1"/>
  <c r="B13" i="6" a="1"/>
  <c r="B13" i="6" s="1"/>
  <c r="C12" i="6" a="1"/>
  <c r="C12" i="6" s="1"/>
  <c r="B12" i="6" a="1"/>
  <c r="B12" i="6" s="1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E53" i="5"/>
  <c r="E52" i="5"/>
  <c r="E11" i="5"/>
  <c r="E12" i="5"/>
  <c r="E10" i="5"/>
  <c r="E8" i="5"/>
  <c r="E45" i="5"/>
  <c r="E18" i="5"/>
  <c r="E38" i="5"/>
  <c r="E42" i="5"/>
  <c r="E22" i="5"/>
  <c r="E21" i="5"/>
  <c r="E34" i="5"/>
  <c r="E33" i="5"/>
  <c r="E32" i="5"/>
  <c r="E31" i="5"/>
  <c r="E27" i="5"/>
  <c r="E30" i="5"/>
  <c r="E68" i="12" l="1"/>
  <c r="E58" i="11"/>
  <c r="E35" i="8"/>
  <c r="E52" i="7"/>
  <c r="E15" i="5"/>
  <c r="C13" i="5" l="1" a="1"/>
  <c r="C13" i="5" s="1"/>
  <c r="B13" i="5" a="1"/>
  <c r="B13" i="5" s="1"/>
  <c r="C12" i="5" a="1"/>
  <c r="C12" i="5" s="1"/>
  <c r="B12" i="5" a="1"/>
  <c r="B12" i="5" s="1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E18" i="4"/>
  <c r="E16" i="4"/>
  <c r="E36" i="4"/>
  <c r="E37" i="4"/>
  <c r="E44" i="4"/>
  <c r="E41" i="4"/>
  <c r="E26" i="4"/>
  <c r="E32" i="4"/>
  <c r="E31" i="4"/>
  <c r="E30" i="4"/>
  <c r="E23" i="4"/>
  <c r="E22" i="4"/>
  <c r="E21" i="4"/>
  <c r="E24" i="4"/>
  <c r="E35" i="4"/>
  <c r="E29" i="4"/>
  <c r="E15" i="4"/>
  <c r="E12" i="4"/>
  <c r="E8" i="4"/>
  <c r="E10" i="4"/>
  <c r="C13" i="4" a="1"/>
  <c r="C13" i="4" s="1"/>
  <c r="B13" i="4" a="1"/>
  <c r="B13" i="4" s="1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E8" i="3"/>
  <c r="E18" i="3"/>
  <c r="E16" i="3"/>
  <c r="E45" i="3"/>
  <c r="E42" i="3"/>
  <c r="E15" i="3"/>
  <c r="E33" i="3"/>
  <c r="E41" i="3"/>
  <c r="E23" i="3"/>
  <c r="E22" i="3"/>
  <c r="E31" i="3"/>
  <c r="E30" i="3"/>
  <c r="E29" i="3"/>
  <c r="E28" i="3"/>
  <c r="E12" i="3"/>
  <c r="E11" i="3"/>
  <c r="E10" i="3"/>
  <c r="C13" i="3" a="1"/>
  <c r="C13" i="3" s="1"/>
  <c r="B13" i="3" a="1"/>
  <c r="B13" i="3" s="1"/>
  <c r="C12" i="3" a="1"/>
  <c r="C12" i="3" s="1"/>
  <c r="B12" i="3" a="1"/>
  <c r="B12" i="3" s="1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E28" i="2"/>
  <c r="E29" i="2"/>
  <c r="E38" i="2"/>
  <c r="E19" i="2"/>
  <c r="E27" i="2"/>
  <c r="E39" i="2"/>
  <c r="E47" i="2"/>
  <c r="E22" i="2"/>
  <c r="E23" i="2"/>
  <c r="E30" i="2"/>
  <c r="E31" i="2"/>
  <c r="E25" i="2"/>
  <c r="E15" i="2"/>
  <c r="E17" i="2"/>
  <c r="E50" i="2"/>
  <c r="E52" i="2"/>
  <c r="E48" i="2"/>
  <c r="E11" i="2"/>
  <c r="E12" i="2"/>
  <c r="E8" i="2"/>
  <c r="E10" i="2"/>
  <c r="C13" i="2" a="1"/>
  <c r="C13" i="2" s="1"/>
  <c r="B13" i="2" a="1"/>
  <c r="B13" i="2" s="1"/>
  <c r="C12" i="2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E11" i="1"/>
  <c r="C11" i="1" a="1"/>
  <c r="C11" i="1" s="1"/>
  <c r="B11" i="1" a="1"/>
  <c r="B11" i="1" s="1"/>
  <c r="E12" i="1"/>
  <c r="C12" i="1" a="1"/>
  <c r="C12" i="1" s="1"/>
  <c r="B12" i="1" a="1"/>
  <c r="B12" i="1" s="1"/>
  <c r="C9" i="1" a="1"/>
  <c r="C9" i="1" s="1"/>
  <c r="B9" i="1" a="1"/>
  <c r="B9" i="1" s="1"/>
  <c r="E16" i="1"/>
  <c r="E40" i="1"/>
  <c r="E38" i="1"/>
  <c r="E27" i="1"/>
  <c r="E32" i="1"/>
  <c r="E45" i="4" l="1"/>
  <c r="E46" i="3"/>
  <c r="E55" i="2"/>
  <c r="E22" i="1"/>
  <c r="E21" i="1"/>
  <c r="E30" i="1"/>
  <c r="E29" i="1"/>
  <c r="E28" i="1"/>
  <c r="E8" i="1" l="1"/>
  <c r="C13" i="1" a="1"/>
  <c r="C13" i="1" s="1"/>
  <c r="B13" i="1" a="1"/>
  <c r="B13" i="1" s="1"/>
  <c r="C10" i="1" a="1"/>
  <c r="C10" i="1" s="1"/>
  <c r="B10" i="1" a="1"/>
  <c r="B10" i="1" s="1"/>
  <c r="E44" i="1" l="1"/>
</calcChain>
</file>

<file path=xl/sharedStrings.xml><?xml version="1.0" encoding="utf-8"?>
<sst xmlns="http://schemas.openxmlformats.org/spreadsheetml/2006/main" count="1649" uniqueCount="225">
  <si>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</si>
  <si>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</si>
  <si>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</si>
  <si>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</si>
  <si>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</si>
  <si>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</si>
  <si>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</si>
  <si>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</si>
  <si>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</si>
  <si>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</si>
  <si>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DRŽAVNI PRORAČUN RH</t>
  </si>
  <si>
    <t>ZAGREB</t>
  </si>
  <si>
    <t>3121 OSTALI RASHODI ZA ZAPOSLENE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</si>
  <si>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</si>
  <si>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</si>
  <si>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</si>
  <si>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</si>
  <si>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</si>
  <si>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</si>
  <si>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</si>
  <si>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</si>
  <si>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</si>
  <si>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</si>
  <si>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</si>
  <si>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3221 UREDSKI MATERIJAL I OSTALI MATERIJALNI RASHODI</t>
  </si>
  <si>
    <t>NARODNE NOVINE D.D.</t>
  </si>
  <si>
    <t>UKUPNO</t>
  </si>
  <si>
    <t>3299 OSTALI NESPOMENUTI RASHODI POSLOVANJA</t>
  </si>
  <si>
    <t>Naziv ustanove: Osnovna škola "Matija Gubec" Cernik</t>
  </si>
  <si>
    <t>Adresa: Školska 20</t>
  </si>
  <si>
    <t>Poštanski broj i grad: 35404 Cernik</t>
  </si>
  <si>
    <t>T: 035/369-003</t>
  </si>
  <si>
    <t>F: 035/369-003</t>
  </si>
  <si>
    <t>E-pošta: ured@os-mgubec-cernik.skole.hr</t>
  </si>
  <si>
    <t>Web-mjesto: www.os-mgubec-cernik.skole.hr</t>
  </si>
  <si>
    <t>3212 NAKNADE ZA PRIJEVOZ,ZA RAD NA TERENU I ODVOJENI ŽIVOT</t>
  </si>
  <si>
    <t xml:space="preserve">3111  PLAĆE ZA REDOVAN RAD  </t>
  </si>
  <si>
    <t>3132 DOPRINOSI ZA OBVEZNO ZDRAVSTVENO OSIGURANJE</t>
  </si>
  <si>
    <t>3295 PRISTOJBE I NAKNADE</t>
  </si>
  <si>
    <t>VINDIJA D.D.</t>
  </si>
  <si>
    <t>VARAŽDIN</t>
  </si>
  <si>
    <t>3222 MATERIJAL I SIROVINE</t>
  </si>
  <si>
    <t>3722 NAKNADE GRAĐANIMA I KUĆANSTVIMA U NARAVI</t>
  </si>
  <si>
    <t>4241 KNJIGE</t>
  </si>
  <si>
    <t>MARTEX</t>
  </si>
  <si>
    <t>NOVA GRADIŠKA</t>
  </si>
  <si>
    <t>VUKOVIĆ PRODUCTION D.O.O.</t>
  </si>
  <si>
    <t>HEP ELEKTRA D.O.O.</t>
  </si>
  <si>
    <t>ODLAGALIŠTE D.O.O.</t>
  </si>
  <si>
    <t>VODOVOD ZAPADNE SLAVONIJE D.O.O.</t>
  </si>
  <si>
    <t>3433 ZATEZNE KAMATE</t>
  </si>
  <si>
    <t>GRID D.O.O.</t>
  </si>
  <si>
    <t>3239 OSTALE USLUGE</t>
  </si>
  <si>
    <t xml:space="preserve">FLEKA </t>
  </si>
  <si>
    <t>ĐURIĆ D.O.O.</t>
  </si>
  <si>
    <t>CERNIK</t>
  </si>
  <si>
    <t>DAVID D.O.O.</t>
  </si>
  <si>
    <t>STARO PETROVO SELO</t>
  </si>
  <si>
    <t>3225 SITNI INVENTAR I AUTO GUME</t>
  </si>
  <si>
    <t>ELECTRIC</t>
  </si>
  <si>
    <t>AFEL D.O.O.</t>
  </si>
  <si>
    <t>PIK VRBOVEC PLUS D.O.O.</t>
  </si>
  <si>
    <t>VRBOVEC</t>
  </si>
  <si>
    <t>PODRAVKA D.D.</t>
  </si>
  <si>
    <t>KOPRIVNICA</t>
  </si>
  <si>
    <t>HRAST INTERIJERI J.D.O.O.</t>
  </si>
  <si>
    <t>3214 OSTALE NAKNADE TROŠKOVA ZAPOSLENIMA</t>
  </si>
  <si>
    <t>SPORT VISION</t>
  </si>
  <si>
    <t>OPG SAVI BERNARD</t>
  </si>
  <si>
    <t>DELTEKS D.O.O.</t>
  </si>
  <si>
    <t>Veljača 2024.g.</t>
  </si>
  <si>
    <t>3211 SLUŽBENA PUTOVANJA</t>
  </si>
  <si>
    <t>LEDO PLUS D.O.O.</t>
  </si>
  <si>
    <t>LEPRINKA</t>
  </si>
  <si>
    <t>IČIĆI</t>
  </si>
  <si>
    <t>32381 RAČUNALNE USLUGE</t>
  </si>
  <si>
    <t>HRVATSKA ZAJEDNICA OSNOVNIH ŠKOLA</t>
  </si>
  <si>
    <t>3294 ČLANARINE I NORME</t>
  </si>
  <si>
    <t>HRVATSKA RADIOTELEVIZIJA</t>
  </si>
  <si>
    <t>3233 USLUGE PROMIDŽBE I INFORMIRANJA</t>
  </si>
  <si>
    <t>POINT</t>
  </si>
  <si>
    <t>ŠKOLSKE NOVINE D.O.O.</t>
  </si>
  <si>
    <t>KOVAČIĆ KONZALTING D.O.O.</t>
  </si>
  <si>
    <t>TROGIR</t>
  </si>
  <si>
    <t>HRVATSKA ZAJEDNICA RAČUNOVOĐA I FIN. DJELATNIKA</t>
  </si>
  <si>
    <t>3213 STRUČNO USAVRŠAVANJE ZAPOSLENIKA</t>
  </si>
  <si>
    <t>O7179054100</t>
  </si>
  <si>
    <t>KORZO</t>
  </si>
  <si>
    <t>ZLATNIK 2020 D.O.O.</t>
  </si>
  <si>
    <t>VINKOVCI</t>
  </si>
  <si>
    <t>MKM D.O.O.</t>
  </si>
  <si>
    <t>RENIĆ D.O.O.</t>
  </si>
  <si>
    <t>ZU LJEKARNE PERAK</t>
  </si>
  <si>
    <t>KUTJEVO</t>
  </si>
  <si>
    <t>ŠKOLSKA KNJIGA D.D.</t>
  </si>
  <si>
    <t>TR DALAS</t>
  </si>
  <si>
    <t>VERHAS</t>
  </si>
  <si>
    <t>HRVATSKA UDRUGA RAVNATELJA OSNOVNIH ŠKOLA</t>
  </si>
  <si>
    <t>TEHNO PLANET</t>
  </si>
  <si>
    <t>EZERKA OPREMA D.O.O.</t>
  </si>
  <si>
    <t>IKEA HRVATSKA D.O.O.</t>
  </si>
  <si>
    <t>SESVETSKI KRALJEVAC</t>
  </si>
  <si>
    <t>Datum objave: 19. veljače 2024.</t>
  </si>
  <si>
    <t>Datum objave: 5. ožujka 2024.</t>
  </si>
  <si>
    <t>Ožujak 2024.g.</t>
  </si>
  <si>
    <t>SAPONIA D.D.</t>
  </si>
  <si>
    <t>UŽARIJA OREŠKOVIĆ</t>
  </si>
  <si>
    <t>DAVID DO.O.</t>
  </si>
  <si>
    <t>NASTAVNI ZAVOD ZA JAVNO ZDRAVSTVO BPŽ</t>
  </si>
  <si>
    <t>SLAVONSKI BROD</t>
  </si>
  <si>
    <t>3236 ZDRAVSTVENE I VETERINARSKE USLUGE</t>
  </si>
  <si>
    <t>HRVATSKI KINEZIOLOŠKI SAVEZ</t>
  </si>
  <si>
    <t>Datum objave: 15. travnja 2024.</t>
  </si>
  <si>
    <t>Travanj 2024.g.</t>
  </si>
  <si>
    <t>HRVATSKI SAVEZ UČENIČKIH ZADRUGA</t>
  </si>
  <si>
    <t>OPĆINA CERNIK</t>
  </si>
  <si>
    <t>PETROL D.O.O.</t>
  </si>
  <si>
    <t>Datum objave: 7. svibnja 2024.</t>
  </si>
  <si>
    <t>Svibanj 2024.g.</t>
  </si>
  <si>
    <t>TERME SVETI MARTIN</t>
  </si>
  <si>
    <t>SVETI MARTIN NA MURI</t>
  </si>
  <si>
    <t>GRID</t>
  </si>
  <si>
    <t>3227 SLUŽBENA RADNA I ZAŠTITNA ODJEĆA I OBUĆA</t>
  </si>
  <si>
    <t>3812 TEKUĆE DONACIJE U NARAVI</t>
  </si>
  <si>
    <t>MB TRANSPORTI</t>
  </si>
  <si>
    <t>DOM ZDRAAVLJA DR ANDRIJA ŠTAMPAR</t>
  </si>
  <si>
    <t>OO777993329</t>
  </si>
  <si>
    <t>TING D.O.O.</t>
  </si>
  <si>
    <t>ZNAMEN D.O.O.</t>
  </si>
  <si>
    <t>IKEA</t>
  </si>
  <si>
    <t>Datum objave: 10. lipnja 2024.</t>
  </si>
  <si>
    <t>Lipanj 2024.g.</t>
  </si>
  <si>
    <t>LJEKARNE PERAK</t>
  </si>
  <si>
    <t>BOŠNJAK KRISTINA MLADOST</t>
  </si>
  <si>
    <t>OPG SAVI</t>
  </si>
  <si>
    <t>O.M. SUPPORT D.O.O.</t>
  </si>
  <si>
    <t>3237 INTELEKTUALNE I OSOBNE USLUGE</t>
  </si>
  <si>
    <t>FOTO IRIS</t>
  </si>
  <si>
    <t>PANSION SLAVONSKI BISER</t>
  </si>
  <si>
    <t>3293 REPREZENTACIJA</t>
  </si>
  <si>
    <t>EUROPAPIER ADRIA D.O.O.</t>
  </si>
  <si>
    <t>O191341578</t>
  </si>
  <si>
    <t>CVJEĆARNA MIMOZA</t>
  </si>
  <si>
    <t>MAĐARICA J.D.O.O.</t>
  </si>
  <si>
    <t>ZAJEDNICA PROIZVOĐAČA NG KRAJA</t>
  </si>
  <si>
    <t>SPORTSIUM GRUPA D.O.O.</t>
  </si>
  <si>
    <t>OFFERTISSIMA D.O.O.</t>
  </si>
  <si>
    <t>TRGOVINA IVANA</t>
  </si>
  <si>
    <t>LIDL HRVATSKA D.O.O.</t>
  </si>
  <si>
    <t>LAMPION</t>
  </si>
  <si>
    <t>Datum objave: 12. srpnja 2024.</t>
  </si>
  <si>
    <t>Srpanj 2024.g.</t>
  </si>
  <si>
    <t>Datum objave: 8. kolovoza 2024.</t>
  </si>
  <si>
    <t>INTERSPORT H.D.O.O.</t>
  </si>
  <si>
    <t>SESVETE</t>
  </si>
  <si>
    <t>JELUŠIĆ D.O.O.</t>
  </si>
  <si>
    <t>KAPTOL</t>
  </si>
  <si>
    <t>3235 ZAKUPNINE I NAJAMNINE</t>
  </si>
  <si>
    <t>MESEŠ D.O.O.</t>
  </si>
  <si>
    <t>Kolovoz 2024.g.</t>
  </si>
  <si>
    <t>Datum objave: 5. rujna 2024.</t>
  </si>
  <si>
    <t>3227 SLUŽBENA, RADNA I ZAŠTITNA OBUĆA I ODJEĆA</t>
  </si>
  <si>
    <t>MLADOST</t>
  </si>
  <si>
    <t>FLEKA</t>
  </si>
  <si>
    <t>OPG ŽAKIĆ KREŠIMIR</t>
  </si>
  <si>
    <t>WORDWALL</t>
  </si>
  <si>
    <t>Rujan 2024.g.</t>
  </si>
  <si>
    <t>DUBROVNIK SUN D.O.O.</t>
  </si>
  <si>
    <t>DUBROVNIK</t>
  </si>
  <si>
    <t>PETROL</t>
  </si>
  <si>
    <t>MARTEX D.O.O.</t>
  </si>
  <si>
    <t>BOSO D.O.O.</t>
  </si>
  <si>
    <t>KIK</t>
  </si>
  <si>
    <t>ZAPREŠIĆ</t>
  </si>
  <si>
    <t>3121 OSTALI RASHOCI ZA ZAPOSLENE</t>
  </si>
  <si>
    <t>Datum objave: 8. listopada 2024.</t>
  </si>
  <si>
    <t>Listopad 2024.</t>
  </si>
  <si>
    <t>CROATIA OSIGURANJE</t>
  </si>
  <si>
    <t>TRGOVAČKO-NAKLADNIČKI OBRT TENOR</t>
  </si>
  <si>
    <t>MARKO, OBRT ZA USLUGE KOMBI PRIJEVOZA</t>
  </si>
  <si>
    <t>ALFA D.D.</t>
  </si>
  <si>
    <t>O7189160632</t>
  </si>
  <si>
    <t>NOVA VES</t>
  </si>
  <si>
    <t>O1634935563</t>
  </si>
  <si>
    <t>3227 SLUŽBENA, RADNA I ZAŠTITNA ODJEĆA I OBUĆA</t>
  </si>
  <si>
    <t>ELECTIC</t>
  </si>
  <si>
    <t>MKM</t>
  </si>
  <si>
    <t>SERVIS KUĆANSKIH APARATA FRIGO</t>
  </si>
  <si>
    <t>TO STAGE VL BORISLAV ŽIVKOVIĆ</t>
  </si>
  <si>
    <t>3236 ZDRAVSTVENE I  VETERINARSKE USLUGE</t>
  </si>
  <si>
    <t>AUTOTRANS D.D.</t>
  </si>
  <si>
    <t>CRES</t>
  </si>
  <si>
    <t>IBIS GRAFIKA</t>
  </si>
  <si>
    <t>PLODINE</t>
  </si>
  <si>
    <t>RIJEKA</t>
  </si>
  <si>
    <t>OFFERTISSIMA</t>
  </si>
  <si>
    <t>OO643859701</t>
  </si>
  <si>
    <t>Datum objave: 12. studenog 2024.</t>
  </si>
  <si>
    <t>Studeni 2024.</t>
  </si>
  <si>
    <t>DOMAGOJ STRINAVIĆ</t>
  </si>
  <si>
    <t>DOM ZDRAVLJA DR ANDRIJA ŠTAMPAR</t>
  </si>
  <si>
    <t>AGRAM LIFE OSIGURANJE D.D.</t>
  </si>
  <si>
    <t>DJ-LINE PRIJEVOZNIČKI OBRT</t>
  </si>
  <si>
    <t>TECHNOLOGY SOLUTIONS D.O.O.</t>
  </si>
  <si>
    <t>PULA</t>
  </si>
  <si>
    <t>Datum objave: 12. prosinca 2024.</t>
  </si>
  <si>
    <t>Prosinac 2024.</t>
  </si>
  <si>
    <t>UO POTRČKO</t>
  </si>
  <si>
    <t>LJEKARNE PREAK</t>
  </si>
  <si>
    <t>4221 UREDSKA OPREMA I NAMJEŠTAJ</t>
  </si>
  <si>
    <t>MESNICA RAKONIĆ</t>
  </si>
  <si>
    <t>FIZIČKA OSOBA</t>
  </si>
  <si>
    <t>3241 NAKNADE TROŠKOVA OSOBAMA IZVAN RADNOG ODNOSA</t>
  </si>
  <si>
    <t>BEBRINKA D.O.O.</t>
  </si>
  <si>
    <t>O9258677265</t>
  </si>
  <si>
    <t>DONJA BEBRINA</t>
  </si>
  <si>
    <t>T.O. MLADOST</t>
  </si>
  <si>
    <t>O1913481578</t>
  </si>
  <si>
    <t>ROLING OBRT ZA USLUGE</t>
  </si>
  <si>
    <t>TECHNO WIN MACHINE D.O.O.</t>
  </si>
  <si>
    <t>NASTAVNI ZAVOD ZA JAVNO ZDRAVSTVO</t>
  </si>
  <si>
    <t>HZRIF</t>
  </si>
  <si>
    <t>KATARINA ZRINSKI D.O.O.</t>
  </si>
  <si>
    <t>MOZAIK KNJIOGA D.O.O.</t>
  </si>
  <si>
    <t>Datum objave: 17. siječnja 2025..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</si>
</sst>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4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sz val="11"/>
      <color rgb="FF0F5666"/>
      <name val="Calibri"/>
      <family val="2"/>
      <charset val="238"/>
    </font>
    <font>
      <sz val="10"/>
      <name val="Calibri"/>
      <family val="2"/>
      <charset val="238"/>
    </font>
    <font>
      <sz val="11"/>
      <color rgb="FF0F5666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4" fillId="3" borderId="5" xfId="0" applyFont="1" applyFill="1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164" fontId="8" fillId="0" borderId="12" xfId="0" applyNumberFormat="1" applyFont="1" applyBorder="1" applyAlignment="1">
      <alignment horizontal="center" vertical="center"/>
    </xf>
    <xf numFmtId="164" fontId="8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8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8" fillId="0" borderId="12" xfId="0" applyFont="1" applyBorder="1" applyAlignment="1">
      <alignment horizontal="center" vertical="center" wrapText="1"/>
    </xf>
    <xf numFmtId="164" fontId="11" fillId="0" borderId="12" xfId="0" applyNumberFormat="1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4" fontId="11" fillId="0" borderId="12" xfId="0" applyNumberFormat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3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Fill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165" fontId="8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380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379"/>
      <tableStyleElement type="totalRow" dxfId="378"/>
      <tableStyleElement type="firstRowStripe" dxfId="377"/>
      <tableStyleElement type="secondRowStripe" dxfId="376"/>
    </tableStyle>
    <tableStyle name="VELJAČA-style" pivot="0" count="4" xr9:uid="{00000000-0011-0000-FFFF-FFFF01000000}">
      <tableStyleElement type="headerRow" dxfId="375"/>
      <tableStyleElement type="totalRow" dxfId="374"/>
      <tableStyleElement type="firstRowStripe" dxfId="373"/>
      <tableStyleElement type="secondRowStripe" dxfId="37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7:E44">
  <tableColumns count="5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53C0593-5877-4161-910A-4473A1514EF2}" name="Table_156473911" displayName="Table_156473911" ref="A7:E62">
  <tableColumns count="5">
    <tableColumn id="1" xr3:uid="{CB9A9A93-B8E6-482B-AFD5-A755F2AD98B2}" name="Naziv primatelja"/>
    <tableColumn id="2" xr3:uid="{1E20628C-CAC5-4D9B-B9E7-DB53D94CB37D}" name="OIB primatelja"/>
    <tableColumn id="3" xr3:uid="{46092054-E873-4AC8-9E12-09189F778746}" name="Sjedište primatelja"/>
    <tableColumn id="4" xr3:uid="{C1C5BC21-AEA8-4857-AFD8-F848964BA7D0}" name="Vrsta rashoda i izdatka"/>
    <tableColumn id="5" xr3:uid="{9969E3CA-650E-4A88-ADCF-D42FCC78C51A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73F56D6-F9EA-42F7-B65A-0245B094B34B}" name="Table_15647391113" displayName="Table_15647391113" ref="A7:E58">
  <tableColumns count="5">
    <tableColumn id="1" xr3:uid="{6B290E45-4CB8-4839-A469-EE16AD083EAB}" name="Naziv primatelja"/>
    <tableColumn id="2" xr3:uid="{41F1CE08-C56E-4A40-8701-020BAEB68A82}" name="OIB primatelja"/>
    <tableColumn id="3" xr3:uid="{AD850A8D-7909-4162-B8E3-1B44C1240755}" name="Sjedište primatelja"/>
    <tableColumn id="4" xr3:uid="{95936C16-6576-4E14-866F-7FB41652A8AE}" name="Vrsta rashoda i izdatka"/>
    <tableColumn id="5" xr3:uid="{5F22BDAA-E4DC-44F2-87E6-C77144350366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B7AFC33-08C1-4EAF-99F6-233AAEF9A2E9}" name="Table_1564739111314" displayName="Table_1564739111314" ref="A7:E68">
  <tableColumns count="5">
    <tableColumn id="1" xr3:uid="{4E78E8AB-6C09-4B0C-ADE3-519601460E1C}" name="Naziv primatelja"/>
    <tableColumn id="2" xr3:uid="{75346B58-E51F-4D46-B5C2-087C734EB621}" name="OIB primatelja"/>
    <tableColumn id="3" xr3:uid="{E16E91DB-ACB8-4E7C-BB0A-6DFDC53D27BE}" name="Sjedište primatelja"/>
    <tableColumn id="4" xr3:uid="{8DBF3142-D2EA-4DD3-8244-11B485AEB487}" name="Vrsta rashoda i izdatka"/>
    <tableColumn id="5" xr3:uid="{15E7353E-497B-4FF0-B92C-DC64409B87A5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BF6115B-F436-4E4B-AECD-1F946CEDC63C}" name="Table_15" displayName="Table_15" ref="A7:E55">
  <tableColumns count="5">
    <tableColumn id="1" xr3:uid="{6353EB8E-3A22-498B-A430-C267D18BBF01}" name="Naziv primatelja"/>
    <tableColumn id="2" xr3:uid="{305F694B-1AC6-48EF-8662-3975D782B64F}" name="OIB primatelja"/>
    <tableColumn id="3" xr3:uid="{9AEE951A-BCBD-46C7-B5FB-9CB3894BE729}" name="Sjedište primatelja"/>
    <tableColumn id="4" xr3:uid="{8EA91095-AB58-4A04-96DB-1197C14EA73C}" name="Vrsta rashoda i izdatka"/>
    <tableColumn id="5" xr3:uid="{F1C3F87D-95F3-4089-9F5F-57750AADD599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1D22DFE-F176-4851-BCA7-5568BE18B244}" name="Table_156" displayName="Table_156" ref="A7:E46">
  <tableColumns count="5">
    <tableColumn id="1" xr3:uid="{19E49AF1-3A8B-40E4-AE07-2DD1C3B3EF45}" name="Naziv primatelja"/>
    <tableColumn id="2" xr3:uid="{19218C37-67B4-48F0-B82D-2450EA4FAA35}" name="OIB primatelja"/>
    <tableColumn id="3" xr3:uid="{14535273-E771-47AA-B25C-F8084D146DA6}" name="Sjedište primatelja"/>
    <tableColumn id="4" xr3:uid="{7A60C5A0-42DB-4FCB-ACAE-538B8F109A72}" name="Vrsta rashoda i izdatka"/>
    <tableColumn id="5" xr3:uid="{66B19BF9-BE7E-4446-B700-3BC701AAD896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235CA32-D20D-44D6-AD8E-08D4BE1671C9}" name="Table_1564" displayName="Table_1564" ref="A7:E45">
  <tableColumns count="5">
    <tableColumn id="1" xr3:uid="{0D5370FA-2B04-4089-99C9-1D5B916B1633}" name="Naziv primatelja"/>
    <tableColumn id="2" xr3:uid="{2F0C986D-3596-4072-BDC7-78EF2CE7D19E}" name="OIB primatelja"/>
    <tableColumn id="3" xr3:uid="{C27680D6-1F1D-4264-BBA9-8E321F7C0A65}" name="Sjedište primatelja"/>
    <tableColumn id="4" xr3:uid="{B160A645-5B10-449E-8AC9-E77FC1F7E29E}" name="Vrsta rashoda i izdatka"/>
    <tableColumn id="5" xr3:uid="{1572B244-8306-4893-80CD-1925BBE981C2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6EFB97C-A1E1-4384-9324-728C7A7AC82D}" name="Table_15647" displayName="Table_15647" ref="A7:E53">
  <tableColumns count="5">
    <tableColumn id="1" xr3:uid="{9B98418D-9341-4FA1-9E41-4A25FE648F6B}" name="Naziv primatelja"/>
    <tableColumn id="2" xr3:uid="{E83CD310-F57C-4527-9303-1DE4B608627B}" name="OIB primatelja"/>
    <tableColumn id="3" xr3:uid="{787E22DD-DBD7-45F2-97BA-F8992D78AF8D}" name="Sjedište primatelja"/>
    <tableColumn id="4" xr3:uid="{48127F4C-D635-4E2F-BEA7-8F9C1C7995AC}" name="Vrsta rashoda i izdatka"/>
    <tableColumn id="5" xr3:uid="{438563D7-B63F-488E-9E31-86026C0344CC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37AC35-7A0A-4398-BDA5-C8E6F510B3DD}" name="Table_156473" displayName="Table_156473" ref="A7:E64">
  <tableColumns count="5">
    <tableColumn id="1" xr3:uid="{9C506CFA-5F87-4BE3-B06B-4F2279CC541D}" name="Naziv primatelja"/>
    <tableColumn id="2" xr3:uid="{C199E945-09E0-4CF7-963F-DC8B89230D81}" name="OIB primatelja"/>
    <tableColumn id="3" xr3:uid="{BA51F542-53F0-488E-8F93-C96920300AF5}" name="Sjedište primatelja"/>
    <tableColumn id="4" xr3:uid="{BC1823D0-28FE-4B8D-9DED-C48212DC0A57}" name="Vrsta rashoda i izdatka"/>
    <tableColumn id="5" xr3:uid="{9E3EF1EE-6645-4E65-83D9-7796ACF5D7D3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4168B75-19F7-453D-AD7C-4533EE732CE4}" name="Table_1564739" displayName="Table_1564739" ref="A7:E52">
  <tableColumns count="5">
    <tableColumn id="1" xr3:uid="{46981D7F-B502-4AB4-953D-BC0E8EC2E4B4}" name="Naziv primatelja"/>
    <tableColumn id="2" xr3:uid="{B9CC72DD-F418-4700-AD24-29219397EC93}" name="OIB primatelja"/>
    <tableColumn id="3" xr3:uid="{3DC09B02-D208-495E-8015-C6C002656787}" name="Sjedište primatelja"/>
    <tableColumn id="4" xr3:uid="{09E37FD8-D3B4-419C-A5ED-B50E06C4077C}" name="Vrsta rashoda i izdatka"/>
    <tableColumn id="5" xr3:uid="{4EB43560-C445-49F5-9A66-23E3961330F2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5CA3557-C1FC-46FF-B04D-25EE86ABBB02}" name="Table_15647398" displayName="Table_15647398" ref="A7:E35">
  <tableColumns count="5">
    <tableColumn id="1" xr3:uid="{DF90CE4D-D82B-491D-8040-B1A8CEACDB6E}" name="Naziv primatelja"/>
    <tableColumn id="2" xr3:uid="{EDD36A7E-AC48-41FE-8DAD-CEBBBBF4A01A}" name="OIB primatelja"/>
    <tableColumn id="3" xr3:uid="{0896B725-DAA9-42DC-AD53-E9CA0CD760EF}" name="Sjedište primatelja"/>
    <tableColumn id="4" xr3:uid="{0A0DE072-B3EB-4090-AA41-ACCAD5715104}" name="Vrsta rashoda i izdatka"/>
    <tableColumn id="5" xr3:uid="{E44A4770-D44A-4E98-9021-E4EBD5D61BB8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9426862-BE8C-4741-829A-DB23E405EDC5}" name="Table_1564739812" displayName="Table_1564739812" ref="A7:E37">
  <tableColumns count="5">
    <tableColumn id="1" xr3:uid="{CE848F43-E702-4C54-BDD4-F530E5DF5969}" name="Naziv primatelja"/>
    <tableColumn id="2" xr3:uid="{DD909DF8-05A2-424E-B3FB-E8AAFC912829}" name="OIB primatelja"/>
    <tableColumn id="3" xr3:uid="{EF9BCF9B-3BDC-4C40-B91A-DA5048262284}" name="Sjedište primatelja"/>
    <tableColumn id="4" xr3:uid="{1FE4EAC5-26FD-4F09-8D67-1B6C2F3DCC11}" name="Vrsta rashoda i izdatka"/>
    <tableColumn id="5" xr3:uid="{F57D3BDC-0CCF-4AED-8DA5-DD232A4B04D0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97"/>
  <sheetViews>
    <sheetView showGridLines="0" topLeftCell="A40" workbookViewId="0">
      <selection activeCell="A47" sqref="A47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0.28515625" customWidth="1"/>
    <col min="7" max="7" width="11.28515625" customWidth="1"/>
    <col min="8" max="11" width="9" customWidth="1"/>
  </cols>
  <sheetData>
    <row r="1" spans="1:11" ht="57.75" customHeight="1" x14ac:dyDescent="0.25">
      <c r="A1" s="67" t="s">
        <v>28</v>
      </c>
      <c r="B1" s="68"/>
      <c r="C1" s="68"/>
      <c r="D1" s="68"/>
      <c r="E1" s="69"/>
      <c r="F1" s="1"/>
      <c r="G1" s="2"/>
      <c r="H1" s="3"/>
      <c r="I1" s="3"/>
      <c r="J1" s="3"/>
      <c r="K1" s="3"/>
    </row>
    <row r="2" spans="1:11" ht="37.5" customHeight="1" x14ac:dyDescent="0.25">
      <c r="A2" s="70" t="s">
        <v>29</v>
      </c>
      <c r="B2" s="71"/>
      <c r="C2" s="21" t="s">
        <v>31</v>
      </c>
      <c r="D2" s="74" t="s">
        <v>33</v>
      </c>
      <c r="E2" s="75"/>
      <c r="F2" s="4"/>
      <c r="G2" s="2"/>
      <c r="H2" s="3"/>
      <c r="I2" s="3"/>
      <c r="J2" s="3"/>
      <c r="K2" s="3"/>
    </row>
    <row r="3" spans="1:11" ht="47.25" customHeight="1" x14ac:dyDescent="0.25">
      <c r="A3" s="72" t="s">
        <v>30</v>
      </c>
      <c r="B3" s="73"/>
      <c r="C3" s="22" t="s">
        <v>32</v>
      </c>
      <c r="D3" s="76" t="s">
        <v>34</v>
      </c>
      <c r="E3" s="73"/>
      <c r="F3" s="4"/>
      <c r="G3" s="2"/>
      <c r="H3" s="3"/>
      <c r="I3" s="3"/>
      <c r="J3" s="3"/>
      <c r="K3" s="3"/>
    </row>
    <row r="4" spans="1:11" ht="43.5" customHeight="1" x14ac:dyDescent="0.25">
      <c r="A4" s="5" t="s">
        <v>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5" t="s">
        <v>1</v>
      </c>
      <c r="B5" s="66"/>
      <c r="C5" s="66"/>
      <c r="D5" s="66"/>
      <c r="E5" s="66"/>
      <c r="F5" s="3"/>
      <c r="G5" s="2"/>
      <c r="H5" s="3"/>
      <c r="I5" s="3"/>
      <c r="J5" s="3"/>
      <c r="K5" s="3"/>
    </row>
    <row r="6" spans="1:11" ht="33.75" customHeight="1" x14ac:dyDescent="0.25">
      <c r="F6" s="8"/>
      <c r="G6" s="9"/>
      <c r="H6" s="8"/>
      <c r="I6" s="8"/>
      <c r="J6" s="8"/>
      <c r="K6" s="8"/>
    </row>
    <row r="7" spans="1:11" ht="33.75" customHeight="1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7</v>
      </c>
      <c r="B8" s="10"/>
      <c r="C8" s="11"/>
      <c r="D8" s="12" t="s">
        <v>36</v>
      </c>
      <c r="E8" s="13">
        <f>66839.86+1000</f>
        <v>67839.86</v>
      </c>
      <c r="F8" s="8"/>
      <c r="G8" s="9"/>
      <c r="H8" s="8"/>
      <c r="I8" s="8"/>
      <c r="J8" s="8"/>
      <c r="K8" s="8"/>
    </row>
    <row r="9" spans="1:11" s="20" customFormat="1" ht="33.75" customHeight="1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13">
        <v>1907.41</v>
      </c>
      <c r="F9" s="8"/>
      <c r="G9" s="26"/>
      <c r="H9" s="8"/>
      <c r="I9" s="8"/>
      <c r="J9" s="8"/>
      <c r="K9" s="8"/>
    </row>
    <row r="10" spans="1:11" ht="33.75" customHeight="1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v>903.49</v>
      </c>
      <c r="F10" s="8"/>
      <c r="G10" s="9"/>
      <c r="H10" s="8"/>
      <c r="I10" s="8"/>
      <c r="J10" s="8"/>
      <c r="K10" s="8"/>
    </row>
    <row r="11" spans="1:11" s="20" customFormat="1" ht="33.75" customHeight="1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4931.12+53.09</f>
        <v>4984.21</v>
      </c>
      <c r="F11" s="8"/>
      <c r="G11" s="26"/>
      <c r="H11" s="8"/>
      <c r="I11" s="8"/>
      <c r="J11" s="8"/>
      <c r="K11" s="8"/>
    </row>
    <row r="12" spans="1:11" s="20" customFormat="1" ht="33.75" customHeight="1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11492.39+165</f>
        <v>11657.39</v>
      </c>
      <c r="F12" s="8"/>
      <c r="G12" s="26"/>
      <c r="H12" s="8"/>
      <c r="I12" s="8"/>
      <c r="J12" s="8"/>
      <c r="K12" s="8"/>
    </row>
    <row r="13" spans="1:11" ht="33.75" customHeight="1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1896.6</v>
      </c>
      <c r="F13" s="8"/>
      <c r="G13" s="9"/>
      <c r="H13" s="8"/>
      <c r="I13" s="8"/>
      <c r="J13" s="8"/>
      <c r="K13" s="8"/>
    </row>
    <row r="14" spans="1:11" s="20" customFormat="1" ht="33.75" customHeight="1" x14ac:dyDescent="0.25">
      <c r="A14" s="10" t="s">
        <v>7</v>
      </c>
      <c r="B14" s="10"/>
      <c r="C14" s="11"/>
      <c r="D14" s="12" t="s">
        <v>66</v>
      </c>
      <c r="E14" s="13">
        <v>91.4</v>
      </c>
      <c r="F14" s="8"/>
      <c r="G14" s="26"/>
      <c r="H14" s="8"/>
      <c r="I14" s="8"/>
      <c r="J14" s="8"/>
      <c r="K14" s="8"/>
    </row>
    <row r="15" spans="1:11" ht="40.5" customHeight="1" x14ac:dyDescent="0.25">
      <c r="A15" s="10" t="s">
        <v>10</v>
      </c>
      <c r="B15" s="30">
        <v>18683136487</v>
      </c>
      <c r="C15" s="11" t="s">
        <v>11</v>
      </c>
      <c r="D15" s="12" t="s">
        <v>38</v>
      </c>
      <c r="E15" s="13">
        <v>280</v>
      </c>
      <c r="F15" s="8"/>
      <c r="G15" s="9"/>
      <c r="H15" s="8"/>
      <c r="I15" s="8"/>
      <c r="J15" s="8"/>
      <c r="K15" s="8"/>
    </row>
    <row r="16" spans="1:11" ht="40.5" customHeight="1" x14ac:dyDescent="0.25">
      <c r="A16" s="10" t="s">
        <v>39</v>
      </c>
      <c r="B16" s="14">
        <v>44138062462</v>
      </c>
      <c r="C16" s="11" t="s">
        <v>40</v>
      </c>
      <c r="D16" s="12" t="s">
        <v>41</v>
      </c>
      <c r="E16" s="13">
        <f>212.26+306.31+66.36+71.88+120.59+171.93+391.84</f>
        <v>1341.1699999999998</v>
      </c>
      <c r="F16" s="8"/>
      <c r="G16" s="9"/>
      <c r="H16" s="8"/>
      <c r="I16" s="8"/>
      <c r="J16" s="8"/>
      <c r="K16" s="8"/>
    </row>
    <row r="17" spans="1:11" s="20" customFormat="1" ht="40.5" customHeight="1" x14ac:dyDescent="0.25">
      <c r="A17" s="10" t="s">
        <v>25</v>
      </c>
      <c r="B17" s="10">
        <v>64546066176</v>
      </c>
      <c r="C17" s="11" t="s">
        <v>11</v>
      </c>
      <c r="D17" s="12" t="s">
        <v>42</v>
      </c>
      <c r="E17" s="13">
        <v>50.59</v>
      </c>
      <c r="F17" s="8"/>
      <c r="G17" s="26"/>
      <c r="H17" s="8"/>
      <c r="I17" s="8"/>
      <c r="J17" s="8"/>
      <c r="K17" s="8"/>
    </row>
    <row r="18" spans="1:11" ht="40.5" customHeight="1" x14ac:dyDescent="0.25">
      <c r="A18" s="23" t="s">
        <v>25</v>
      </c>
      <c r="B18" s="23">
        <v>64546066176</v>
      </c>
      <c r="C18" s="24" t="s">
        <v>11</v>
      </c>
      <c r="D18" s="25" t="s">
        <v>43</v>
      </c>
      <c r="E18" s="13">
        <v>20.5</v>
      </c>
      <c r="F18" s="8"/>
      <c r="G18" s="9"/>
      <c r="H18" s="8"/>
      <c r="I18" s="8"/>
      <c r="J18" s="8"/>
      <c r="K18" s="8"/>
    </row>
    <row r="19" spans="1:11" ht="40.5" customHeight="1" x14ac:dyDescent="0.25">
      <c r="A19" s="10" t="s">
        <v>44</v>
      </c>
      <c r="B19" s="29">
        <v>70059005746</v>
      </c>
      <c r="C19" s="11" t="s">
        <v>45</v>
      </c>
      <c r="D19" s="12" t="s">
        <v>27</v>
      </c>
      <c r="E19" s="13">
        <v>214.36</v>
      </c>
      <c r="F19" s="8"/>
      <c r="G19" s="9"/>
      <c r="H19" s="8"/>
      <c r="I19" s="8"/>
      <c r="J19" s="8"/>
      <c r="K19" s="8"/>
    </row>
    <row r="20" spans="1:11" ht="40.5" customHeight="1" x14ac:dyDescent="0.25">
      <c r="A20" s="10" t="s">
        <v>46</v>
      </c>
      <c r="B20" s="10">
        <v>26900108342</v>
      </c>
      <c r="C20" s="11" t="s">
        <v>45</v>
      </c>
      <c r="D20" s="12" t="s">
        <v>24</v>
      </c>
      <c r="E20" s="13">
        <v>7.94</v>
      </c>
      <c r="F20" s="8"/>
      <c r="G20" s="9"/>
      <c r="H20" s="8"/>
      <c r="I20" s="8"/>
      <c r="J20" s="8"/>
      <c r="K20" s="8"/>
    </row>
    <row r="21" spans="1:11" s="20" customFormat="1" ht="40.5" customHeight="1" x14ac:dyDescent="0.25">
      <c r="A21" s="10" t="s">
        <v>17</v>
      </c>
      <c r="B21" s="29">
        <v>81793146560</v>
      </c>
      <c r="C21" s="11" t="s">
        <v>11</v>
      </c>
      <c r="D21" s="12" t="s">
        <v>16</v>
      </c>
      <c r="E21" s="13">
        <f>49.25+24.32</f>
        <v>73.569999999999993</v>
      </c>
      <c r="F21" s="8"/>
      <c r="G21" s="26"/>
      <c r="H21" s="8"/>
      <c r="I21" s="8"/>
      <c r="J21" s="8"/>
      <c r="K21" s="8"/>
    </row>
    <row r="22" spans="1:11" ht="40.5" customHeight="1" x14ac:dyDescent="0.25">
      <c r="A22" s="10" t="s">
        <v>17</v>
      </c>
      <c r="B22" s="14">
        <v>81793146560</v>
      </c>
      <c r="C22" s="11" t="s">
        <v>11</v>
      </c>
      <c r="D22" s="12" t="s">
        <v>50</v>
      </c>
      <c r="E22" s="13">
        <f>0.1+0.04</f>
        <v>0.14000000000000001</v>
      </c>
      <c r="F22" s="8"/>
      <c r="G22" s="9"/>
      <c r="H22" s="8"/>
      <c r="I22" s="8"/>
      <c r="J22" s="8"/>
      <c r="K22" s="8"/>
    </row>
    <row r="23" spans="1:11" s="20" customFormat="1" ht="40.5" customHeight="1" x14ac:dyDescent="0.25">
      <c r="A23" s="10" t="s">
        <v>68</v>
      </c>
      <c r="B23" s="10"/>
      <c r="C23" s="11"/>
      <c r="D23" s="12" t="s">
        <v>27</v>
      </c>
      <c r="E23" s="13">
        <v>173.25</v>
      </c>
      <c r="F23" s="8"/>
      <c r="G23" s="26"/>
      <c r="H23" s="8"/>
      <c r="I23" s="8"/>
      <c r="J23" s="8"/>
      <c r="K23" s="8"/>
    </row>
    <row r="24" spans="1:11" ht="40.5" customHeight="1" x14ac:dyDescent="0.25">
      <c r="A24" s="23" t="s">
        <v>47</v>
      </c>
      <c r="B24" s="23">
        <v>43965974818</v>
      </c>
      <c r="C24" s="24" t="s">
        <v>11</v>
      </c>
      <c r="D24" s="11" t="s">
        <v>19</v>
      </c>
      <c r="E24" s="13">
        <v>2.85</v>
      </c>
      <c r="F24" s="8"/>
      <c r="G24" s="9"/>
      <c r="H24" s="8"/>
      <c r="I24" s="8"/>
      <c r="J24" s="8"/>
      <c r="K24" s="8"/>
    </row>
    <row r="25" spans="1:11" ht="40.5" customHeight="1" x14ac:dyDescent="0.25">
      <c r="A25" s="10" t="s">
        <v>18</v>
      </c>
      <c r="B25" s="29">
        <v>63073332379</v>
      </c>
      <c r="C25" s="11" t="s">
        <v>11</v>
      </c>
      <c r="D25" s="11" t="s">
        <v>19</v>
      </c>
      <c r="E25" s="13">
        <v>782.1</v>
      </c>
      <c r="F25" s="8"/>
      <c r="G25" s="9"/>
      <c r="H25" s="8"/>
      <c r="I25" s="8"/>
      <c r="J25" s="8"/>
      <c r="K25" s="8"/>
    </row>
    <row r="26" spans="1:11" ht="40.5" customHeight="1" x14ac:dyDescent="0.25">
      <c r="A26" s="10" t="s">
        <v>20</v>
      </c>
      <c r="B26" s="10">
        <v>85821130368</v>
      </c>
      <c r="C26" s="11" t="s">
        <v>11</v>
      </c>
      <c r="D26" s="11" t="s">
        <v>21</v>
      </c>
      <c r="E26" s="13">
        <v>1.66</v>
      </c>
      <c r="F26" s="8"/>
      <c r="G26" s="9"/>
      <c r="H26" s="8"/>
      <c r="I26" s="8"/>
      <c r="J26" s="8"/>
      <c r="K26" s="8"/>
    </row>
    <row r="27" spans="1:11" ht="36.75" customHeight="1" x14ac:dyDescent="0.25">
      <c r="A27" s="10" t="s">
        <v>22</v>
      </c>
      <c r="B27" s="29">
        <v>41317489366</v>
      </c>
      <c r="C27" s="11" t="s">
        <v>23</v>
      </c>
      <c r="D27" s="11" t="s">
        <v>19</v>
      </c>
      <c r="E27" s="13">
        <f>13.8+4856.62</f>
        <v>4870.42</v>
      </c>
      <c r="F27" s="8"/>
      <c r="G27" s="9"/>
      <c r="H27" s="8"/>
      <c r="I27" s="8"/>
      <c r="J27" s="8"/>
      <c r="K27" s="8"/>
    </row>
    <row r="28" spans="1:11" ht="48" customHeight="1" x14ac:dyDescent="0.25">
      <c r="A28" s="10" t="s">
        <v>48</v>
      </c>
      <c r="B28" s="10">
        <v>97575612726</v>
      </c>
      <c r="C28" s="11" t="s">
        <v>45</v>
      </c>
      <c r="D28" s="12" t="s">
        <v>13</v>
      </c>
      <c r="E28" s="13">
        <f>11.24+11.96+11.96+11.96+86.24</f>
        <v>133.36000000000001</v>
      </c>
      <c r="F28" s="8"/>
      <c r="G28" s="9"/>
      <c r="H28" s="8"/>
      <c r="I28" s="8"/>
      <c r="J28" s="8"/>
      <c r="K28" s="8"/>
    </row>
    <row r="29" spans="1:11" ht="33.75" customHeight="1" x14ac:dyDescent="0.25">
      <c r="A29" s="10" t="s">
        <v>49</v>
      </c>
      <c r="B29" s="10">
        <v>71442681806</v>
      </c>
      <c r="C29" s="11" t="s">
        <v>45</v>
      </c>
      <c r="D29" s="12" t="s">
        <v>13</v>
      </c>
      <c r="E29" s="13">
        <f>4.04+87.92+42.14+3.6</f>
        <v>137.70000000000002</v>
      </c>
      <c r="F29" s="8"/>
      <c r="G29" s="9"/>
      <c r="H29" s="8"/>
      <c r="I29" s="8"/>
      <c r="J29" s="8"/>
      <c r="K29" s="8"/>
    </row>
    <row r="30" spans="1:11" ht="33.75" customHeight="1" x14ac:dyDescent="0.25">
      <c r="A30" s="10" t="s">
        <v>49</v>
      </c>
      <c r="B30" s="10">
        <v>71442681806</v>
      </c>
      <c r="C30" s="11" t="s">
        <v>45</v>
      </c>
      <c r="D30" s="12" t="s">
        <v>50</v>
      </c>
      <c r="E30" s="13">
        <f>0.01+0.06+0.17</f>
        <v>0.24</v>
      </c>
      <c r="F30" s="8"/>
      <c r="G30" s="9"/>
      <c r="H30" s="8"/>
      <c r="I30" s="8"/>
      <c r="J30" s="8"/>
      <c r="K30" s="8"/>
    </row>
    <row r="31" spans="1:11" ht="33.75" customHeight="1" x14ac:dyDescent="0.25">
      <c r="A31" s="10" t="s">
        <v>14</v>
      </c>
      <c r="B31" s="10">
        <v>87311810356</v>
      </c>
      <c r="C31" s="11" t="s">
        <v>15</v>
      </c>
      <c r="D31" s="12" t="s">
        <v>16</v>
      </c>
      <c r="E31" s="13">
        <v>31.08</v>
      </c>
      <c r="F31" s="8"/>
      <c r="G31" s="9"/>
      <c r="H31" s="8"/>
      <c r="I31" s="8"/>
      <c r="J31" s="8"/>
      <c r="K31" s="8"/>
    </row>
    <row r="32" spans="1:11" ht="85.5" customHeight="1" x14ac:dyDescent="0.25">
      <c r="A32" s="10" t="s">
        <v>51</v>
      </c>
      <c r="B32" s="10">
        <v>45594774168</v>
      </c>
      <c r="C32" s="11" t="s">
        <v>45</v>
      </c>
      <c r="D32" s="12" t="s">
        <v>52</v>
      </c>
      <c r="E32" s="13">
        <f>4.24+112.43</f>
        <v>116.67</v>
      </c>
      <c r="F32" s="8"/>
      <c r="G32" s="9"/>
      <c r="H32" s="8"/>
      <c r="I32" s="8"/>
      <c r="J32" s="8"/>
      <c r="K32" s="8"/>
    </row>
    <row r="33" spans="1:11" ht="48.75" customHeight="1" x14ac:dyDescent="0.25">
      <c r="A33" s="10" t="s">
        <v>53</v>
      </c>
      <c r="B33" s="10">
        <v>9090725911</v>
      </c>
      <c r="C33" s="11" t="s">
        <v>45</v>
      </c>
      <c r="D33" s="12" t="s">
        <v>52</v>
      </c>
      <c r="E33" s="13">
        <v>38</v>
      </c>
      <c r="F33" s="8"/>
      <c r="G33" s="9"/>
      <c r="H33" s="8"/>
      <c r="I33" s="8"/>
      <c r="J33" s="8"/>
      <c r="K33" s="8"/>
    </row>
    <row r="34" spans="1:11" s="20" customFormat="1" ht="48.75" customHeight="1" x14ac:dyDescent="0.25">
      <c r="A34" s="10" t="s">
        <v>54</v>
      </c>
      <c r="B34" s="10">
        <v>47414897452</v>
      </c>
      <c r="C34" s="11" t="s">
        <v>55</v>
      </c>
      <c r="D34" s="12" t="s">
        <v>24</v>
      </c>
      <c r="E34" s="13">
        <v>29.59</v>
      </c>
      <c r="F34" s="8"/>
      <c r="G34" s="26"/>
      <c r="H34" s="8"/>
      <c r="I34" s="8"/>
      <c r="J34" s="8"/>
      <c r="K34" s="8"/>
    </row>
    <row r="35" spans="1:11" ht="51.75" customHeight="1" x14ac:dyDescent="0.25">
      <c r="A35" s="10" t="s">
        <v>54</v>
      </c>
      <c r="B35" s="10">
        <v>47414897452</v>
      </c>
      <c r="C35" s="11" t="s">
        <v>55</v>
      </c>
      <c r="D35" s="12" t="s">
        <v>41</v>
      </c>
      <c r="E35" s="13">
        <v>106.83</v>
      </c>
      <c r="F35" s="8"/>
      <c r="G35" s="9"/>
      <c r="H35" s="8"/>
      <c r="I35" s="8"/>
      <c r="J35" s="8"/>
      <c r="K35" s="8"/>
    </row>
    <row r="36" spans="1:11" ht="33.75" customHeight="1" x14ac:dyDescent="0.25">
      <c r="A36" s="10" t="s">
        <v>56</v>
      </c>
      <c r="B36" s="10">
        <v>3531872873</v>
      </c>
      <c r="C36" s="11" t="s">
        <v>57</v>
      </c>
      <c r="D36" s="12" t="s">
        <v>58</v>
      </c>
      <c r="E36" s="13">
        <v>3054.25</v>
      </c>
      <c r="F36" s="8"/>
      <c r="G36" s="9"/>
      <c r="H36" s="8"/>
      <c r="I36" s="8"/>
      <c r="J36" s="8"/>
      <c r="K36" s="8"/>
    </row>
    <row r="37" spans="1:11" ht="33.75" customHeight="1" x14ac:dyDescent="0.25">
      <c r="A37" s="10" t="s">
        <v>59</v>
      </c>
      <c r="B37" s="10">
        <v>12472633391</v>
      </c>
      <c r="C37" s="11" t="s">
        <v>45</v>
      </c>
      <c r="D37" s="12" t="s">
        <v>24</v>
      </c>
      <c r="E37" s="13">
        <v>1556.6</v>
      </c>
      <c r="F37" s="8"/>
      <c r="G37" s="9"/>
      <c r="H37" s="8"/>
      <c r="I37" s="8"/>
      <c r="J37" s="8"/>
      <c r="K37" s="8"/>
    </row>
    <row r="38" spans="1:11" ht="33.75" customHeight="1" x14ac:dyDescent="0.25">
      <c r="A38" s="10" t="s">
        <v>60</v>
      </c>
      <c r="B38" s="10">
        <v>43238257395</v>
      </c>
      <c r="C38" s="11" t="s">
        <v>45</v>
      </c>
      <c r="D38" s="12" t="s">
        <v>41</v>
      </c>
      <c r="E38" s="13">
        <f>489.51+223.41</f>
        <v>712.92</v>
      </c>
      <c r="F38" s="8"/>
      <c r="G38" s="9"/>
      <c r="H38" s="8"/>
      <c r="I38" s="8"/>
      <c r="J38" s="8"/>
      <c r="K38" s="8"/>
    </row>
    <row r="39" spans="1:11" ht="77.25" customHeight="1" x14ac:dyDescent="0.25">
      <c r="A39" s="10" t="s">
        <v>61</v>
      </c>
      <c r="B39" s="10">
        <v>41976933718</v>
      </c>
      <c r="C39" s="11" t="s">
        <v>62</v>
      </c>
      <c r="D39" s="12" t="s">
        <v>41</v>
      </c>
      <c r="E39" s="13">
        <v>259.70999999999998</v>
      </c>
      <c r="F39" s="8"/>
      <c r="G39" s="9"/>
      <c r="H39" s="8"/>
      <c r="I39" s="8"/>
      <c r="J39" s="8"/>
      <c r="K39" s="8"/>
    </row>
    <row r="40" spans="1:11" ht="33.75" customHeight="1" x14ac:dyDescent="0.25">
      <c r="A40" s="15" t="s">
        <v>63</v>
      </c>
      <c r="B40" s="10">
        <v>18928523252</v>
      </c>
      <c r="C40" s="11" t="s">
        <v>64</v>
      </c>
      <c r="D40" s="12" t="s">
        <v>41</v>
      </c>
      <c r="E40" s="13">
        <f>29.24+73.93</f>
        <v>103.17</v>
      </c>
      <c r="F40" s="8"/>
      <c r="G40" s="9"/>
      <c r="H40" s="8"/>
      <c r="I40" s="8"/>
      <c r="J40" s="8"/>
      <c r="K40" s="8"/>
    </row>
    <row r="41" spans="1:11" ht="33.75" customHeight="1" x14ac:dyDescent="0.25">
      <c r="A41" s="10" t="s">
        <v>65</v>
      </c>
      <c r="B41" s="10">
        <v>63074697345</v>
      </c>
      <c r="C41" s="11" t="s">
        <v>45</v>
      </c>
      <c r="D41" s="12" t="s">
        <v>41</v>
      </c>
      <c r="E41" s="13">
        <v>357.83</v>
      </c>
      <c r="F41" s="8"/>
      <c r="G41" s="9"/>
      <c r="H41" s="8"/>
      <c r="I41" s="8"/>
      <c r="J41" s="8"/>
      <c r="K41" s="8"/>
    </row>
    <row r="42" spans="1:11" s="20" customFormat="1" ht="62.25" customHeight="1" x14ac:dyDescent="0.25">
      <c r="A42" s="23" t="s">
        <v>67</v>
      </c>
      <c r="B42" s="23">
        <v>30098672140</v>
      </c>
      <c r="C42" s="24" t="s">
        <v>11</v>
      </c>
      <c r="D42" s="12" t="s">
        <v>27</v>
      </c>
      <c r="E42" s="13">
        <v>9.99</v>
      </c>
      <c r="F42" s="8"/>
      <c r="G42" s="26"/>
      <c r="H42" s="8"/>
      <c r="I42" s="8"/>
      <c r="J42" s="8"/>
      <c r="K42" s="8"/>
    </row>
    <row r="43" spans="1:11" s="20" customFormat="1" ht="62.25" customHeight="1" x14ac:dyDescent="0.25">
      <c r="A43" s="23" t="s">
        <v>69</v>
      </c>
      <c r="B43" s="23">
        <v>76576986569</v>
      </c>
      <c r="C43" s="24" t="s">
        <v>11</v>
      </c>
      <c r="D43" s="12" t="s">
        <v>24</v>
      </c>
      <c r="E43" s="13">
        <v>8</v>
      </c>
      <c r="F43" s="8"/>
      <c r="G43" s="26"/>
      <c r="H43" s="8"/>
      <c r="I43" s="8"/>
      <c r="J43" s="8"/>
      <c r="K43" s="8"/>
    </row>
    <row r="44" spans="1:11" ht="33.75" customHeight="1" x14ac:dyDescent="0.25">
      <c r="A44" s="16" t="s">
        <v>26</v>
      </c>
      <c r="B44" s="16"/>
      <c r="C44" s="17"/>
      <c r="D44" s="17"/>
      <c r="E44" s="18">
        <f>SUM(E8:E43)</f>
        <v>103754.85000000005</v>
      </c>
      <c r="F44" s="3"/>
      <c r="G44" s="2"/>
      <c r="H44" s="3"/>
      <c r="I44" s="3"/>
      <c r="J44" s="3"/>
      <c r="K44" s="3"/>
    </row>
    <row r="45" spans="1:11" ht="33.75" customHeight="1" x14ac:dyDescent="0.25">
      <c r="A45" s="19"/>
      <c r="B45" s="19"/>
      <c r="C45" s="19"/>
      <c r="D45" s="19"/>
      <c r="E45" s="19"/>
      <c r="F45" s="3"/>
      <c r="G45" s="2"/>
      <c r="H45" s="3"/>
      <c r="I45" s="3"/>
      <c r="J45" s="3"/>
      <c r="K45" s="3"/>
    </row>
    <row r="46" spans="1:11" ht="33.75" customHeight="1" x14ac:dyDescent="0.25">
      <c r="A46" s="40" t="s">
        <v>102</v>
      </c>
      <c r="B46" s="19"/>
      <c r="C46" s="19"/>
      <c r="D46" s="19"/>
      <c r="E46" s="19"/>
      <c r="F46" s="3"/>
      <c r="G46" s="2"/>
      <c r="H46" s="3"/>
      <c r="I46" s="3"/>
      <c r="J46" s="3"/>
      <c r="K46" s="3"/>
    </row>
    <row r="47" spans="1:11" ht="33.75" customHeight="1" x14ac:dyDescent="0.25">
      <c r="A47" s="19"/>
      <c r="B47" s="19"/>
      <c r="C47" s="19"/>
      <c r="D47" s="19"/>
      <c r="E47" s="19"/>
      <c r="F47" s="3"/>
      <c r="G47" s="2"/>
      <c r="H47" s="3"/>
      <c r="I47" s="3"/>
      <c r="J47" s="3"/>
      <c r="K47" s="3"/>
    </row>
    <row r="48" spans="1:11" ht="33.75" customHeight="1" x14ac:dyDescent="0.25">
      <c r="A48" s="19"/>
      <c r="B48" s="19"/>
      <c r="C48" s="19"/>
      <c r="D48" s="19"/>
      <c r="E48" s="19"/>
      <c r="F48" s="3"/>
      <c r="G48" s="2"/>
      <c r="H48" s="3"/>
      <c r="I48" s="3"/>
      <c r="J48" s="3"/>
      <c r="K48" s="3"/>
    </row>
    <row r="49" spans="1:11" ht="33.75" customHeight="1" x14ac:dyDescent="0.25">
      <c r="A49" s="19"/>
      <c r="B49" s="19"/>
      <c r="C49" s="19"/>
      <c r="D49" s="19"/>
      <c r="E49" s="19"/>
      <c r="F49" s="3"/>
      <c r="G49" s="2"/>
      <c r="H49" s="3"/>
      <c r="I49" s="3"/>
      <c r="J49" s="3"/>
      <c r="K49" s="3"/>
    </row>
    <row r="50" spans="1:11" ht="33.75" customHeight="1" x14ac:dyDescent="0.25">
      <c r="A50" s="19"/>
      <c r="B50" s="19"/>
      <c r="C50" s="19"/>
      <c r="D50" s="19"/>
      <c r="E50" s="19"/>
      <c r="F50" s="3"/>
      <c r="G50" s="2"/>
      <c r="H50" s="3"/>
      <c r="I50" s="3"/>
      <c r="J50" s="3"/>
      <c r="K50" s="3"/>
    </row>
    <row r="51" spans="1:11" ht="33.75" customHeight="1" x14ac:dyDescent="0.25">
      <c r="A51" s="19"/>
      <c r="B51" s="19"/>
      <c r="C51" s="19"/>
      <c r="D51" s="19"/>
      <c r="E51" s="19"/>
      <c r="F51" s="3"/>
      <c r="G51" s="2"/>
      <c r="H51" s="3"/>
      <c r="I51" s="3"/>
      <c r="J51" s="3"/>
      <c r="K51" s="3"/>
    </row>
    <row r="52" spans="1:11" ht="33.75" customHeight="1" x14ac:dyDescent="0.25">
      <c r="A52" s="19"/>
      <c r="B52" s="19"/>
      <c r="C52" s="19"/>
      <c r="D52" s="19"/>
      <c r="E52" s="19"/>
      <c r="F52" s="3"/>
      <c r="G52" s="2"/>
      <c r="H52" s="3"/>
      <c r="I52" s="3"/>
      <c r="J52" s="3"/>
      <c r="K52" s="3"/>
    </row>
    <row r="53" spans="1:11" ht="33.75" customHeight="1" x14ac:dyDescent="0.25">
      <c r="A53" s="19"/>
      <c r="B53" s="19"/>
      <c r="C53" s="19"/>
      <c r="D53" s="19"/>
      <c r="E53" s="19"/>
      <c r="F53" s="3"/>
      <c r="G53" s="2"/>
      <c r="H53" s="3"/>
      <c r="I53" s="3"/>
      <c r="J53" s="3"/>
      <c r="K53" s="3"/>
    </row>
    <row r="54" spans="1:11" ht="33.75" customHeight="1" x14ac:dyDescent="0.25">
      <c r="A54" s="19"/>
      <c r="B54" s="19"/>
      <c r="C54" s="19"/>
      <c r="D54" s="19"/>
      <c r="E54" s="19"/>
      <c r="F54" s="3"/>
      <c r="G54" s="2"/>
      <c r="H54" s="3"/>
      <c r="I54" s="3"/>
      <c r="J54" s="3"/>
      <c r="K54" s="3"/>
    </row>
    <row r="55" spans="1:11" ht="33.75" customHeight="1" x14ac:dyDescent="0.25">
      <c r="A55" s="19"/>
      <c r="B55" s="19"/>
      <c r="C55" s="19"/>
      <c r="D55" s="19"/>
      <c r="E55" s="19"/>
      <c r="F55" s="3"/>
      <c r="G55" s="2"/>
      <c r="H55" s="3"/>
      <c r="I55" s="3"/>
      <c r="J55" s="3"/>
      <c r="K55" s="3"/>
    </row>
    <row r="56" spans="1:11" ht="33.75" customHeight="1" x14ac:dyDescent="0.25">
      <c r="A56" s="19"/>
      <c r="B56" s="19"/>
      <c r="C56" s="19"/>
      <c r="D56" s="19"/>
      <c r="E56" s="19"/>
      <c r="F56" s="3"/>
      <c r="G56" s="2"/>
      <c r="H56" s="3"/>
      <c r="I56" s="3"/>
      <c r="J56" s="3"/>
      <c r="K56" s="3"/>
    </row>
    <row r="57" spans="1:11" ht="33.75" customHeight="1" x14ac:dyDescent="0.25">
      <c r="A57" s="19"/>
      <c r="B57" s="19"/>
      <c r="C57" s="19"/>
      <c r="D57" s="19"/>
      <c r="E57" s="19"/>
      <c r="F57" s="3"/>
      <c r="G57" s="2"/>
      <c r="H57" s="3"/>
      <c r="I57" s="3"/>
      <c r="J57" s="3"/>
      <c r="K57" s="3"/>
    </row>
    <row r="58" spans="1:11" ht="33.75" customHeight="1" x14ac:dyDescent="0.25">
      <c r="A58" s="19"/>
      <c r="B58" s="19"/>
      <c r="C58" s="19"/>
      <c r="D58" s="19"/>
      <c r="E58" s="19"/>
      <c r="F58" s="3"/>
      <c r="G58" s="2"/>
      <c r="H58" s="3"/>
      <c r="I58" s="3"/>
      <c r="J58" s="3"/>
      <c r="K58" s="3"/>
    </row>
    <row r="59" spans="1:11" ht="33.75" customHeight="1" x14ac:dyDescent="0.25">
      <c r="A59" s="19"/>
      <c r="B59" s="19"/>
      <c r="C59" s="19"/>
      <c r="D59" s="19"/>
      <c r="E59" s="19"/>
      <c r="F59" s="3"/>
      <c r="G59" s="2"/>
      <c r="H59" s="3"/>
      <c r="I59" s="3"/>
      <c r="J59" s="3"/>
      <c r="K59" s="3"/>
    </row>
    <row r="60" spans="1:11" ht="33.75" customHeight="1" x14ac:dyDescent="0.25">
      <c r="A60" s="19"/>
      <c r="B60" s="19"/>
      <c r="C60" s="19"/>
      <c r="D60" s="19"/>
      <c r="E60" s="19"/>
      <c r="F60" s="3"/>
      <c r="G60" s="2"/>
      <c r="H60" s="3"/>
      <c r="I60" s="3"/>
      <c r="J60" s="3"/>
      <c r="K60" s="3"/>
    </row>
    <row r="61" spans="1:11" ht="33.75" customHeight="1" x14ac:dyDescent="0.25">
      <c r="A61" s="19"/>
      <c r="B61" s="19"/>
      <c r="C61" s="19"/>
      <c r="D61" s="19"/>
      <c r="E61" s="19"/>
      <c r="F61" s="3"/>
      <c r="G61" s="2"/>
      <c r="H61" s="3"/>
      <c r="I61" s="3"/>
      <c r="J61" s="3"/>
      <c r="K61" s="3"/>
    </row>
    <row r="62" spans="1:11" ht="33.75" customHeight="1" x14ac:dyDescent="0.25">
      <c r="A62" s="19"/>
      <c r="B62" s="19"/>
      <c r="C62" s="19"/>
      <c r="D62" s="19"/>
      <c r="E62" s="19"/>
      <c r="F62" s="3"/>
      <c r="G62" s="2"/>
      <c r="H62" s="3"/>
      <c r="I62" s="3"/>
      <c r="J62" s="3"/>
      <c r="K62" s="3"/>
    </row>
    <row r="63" spans="1:11" ht="33.75" customHeight="1" x14ac:dyDescent="0.25">
      <c r="A63" s="19"/>
      <c r="B63" s="19"/>
      <c r="C63" s="19"/>
      <c r="D63" s="19"/>
      <c r="E63" s="19"/>
      <c r="F63" s="3"/>
      <c r="G63" s="2"/>
      <c r="H63" s="3"/>
      <c r="I63" s="3"/>
      <c r="J63" s="3"/>
      <c r="K63" s="3"/>
    </row>
    <row r="64" spans="1:11" ht="33.75" customHeight="1" x14ac:dyDescent="0.25">
      <c r="A64" s="19"/>
      <c r="B64" s="19"/>
      <c r="C64" s="19"/>
      <c r="D64" s="19"/>
      <c r="E64" s="19"/>
      <c r="F64" s="3"/>
      <c r="G64" s="2"/>
      <c r="H64" s="3"/>
      <c r="I64" s="3"/>
      <c r="J64" s="3"/>
      <c r="K64" s="3"/>
    </row>
    <row r="65" spans="1:11" ht="33.75" customHeight="1" x14ac:dyDescent="0.25">
      <c r="A65" s="19"/>
      <c r="B65" s="19"/>
      <c r="C65" s="19"/>
      <c r="D65" s="19"/>
      <c r="E65" s="19"/>
      <c r="F65" s="3"/>
      <c r="G65" s="2"/>
      <c r="H65" s="3"/>
      <c r="I65" s="3"/>
      <c r="J65" s="3"/>
      <c r="K65" s="3"/>
    </row>
    <row r="66" spans="1:11" ht="33.75" customHeight="1" x14ac:dyDescent="0.25">
      <c r="A66" s="19"/>
      <c r="B66" s="19"/>
      <c r="C66" s="19"/>
      <c r="D66" s="19"/>
      <c r="E66" s="19"/>
      <c r="F66" s="3"/>
      <c r="G66" s="2"/>
      <c r="H66" s="3"/>
      <c r="I66" s="3"/>
      <c r="J66" s="3"/>
      <c r="K66" s="3"/>
    </row>
    <row r="67" spans="1:11" ht="33.75" customHeight="1" x14ac:dyDescent="0.25">
      <c r="A67" s="19"/>
      <c r="B67" s="19"/>
      <c r="C67" s="19"/>
      <c r="D67" s="19"/>
      <c r="E67" s="19"/>
      <c r="F67" s="3"/>
      <c r="G67" s="2"/>
      <c r="H67" s="3"/>
      <c r="I67" s="3"/>
      <c r="J67" s="3"/>
      <c r="K67" s="3"/>
    </row>
    <row r="68" spans="1:11" ht="33.75" customHeight="1" x14ac:dyDescent="0.25">
      <c r="A68" s="19"/>
      <c r="B68" s="19"/>
      <c r="C68" s="19"/>
      <c r="D68" s="19"/>
      <c r="E68" s="19"/>
      <c r="F68" s="3"/>
      <c r="G68" s="2"/>
      <c r="H68" s="3"/>
      <c r="I68" s="3"/>
      <c r="J68" s="3"/>
      <c r="K68" s="3"/>
    </row>
    <row r="69" spans="1:11" ht="33.75" customHeight="1" x14ac:dyDescent="0.25">
      <c r="A69" s="19"/>
      <c r="B69" s="19"/>
      <c r="C69" s="19"/>
      <c r="D69" s="19"/>
      <c r="E69" s="19"/>
      <c r="F69" s="3"/>
      <c r="G69" s="2"/>
      <c r="H69" s="3"/>
      <c r="I69" s="3"/>
      <c r="J69" s="3"/>
      <c r="K69" s="3"/>
    </row>
    <row r="70" spans="1:11" ht="33.75" customHeight="1" x14ac:dyDescent="0.25">
      <c r="A70" s="19"/>
      <c r="B70" s="19"/>
      <c r="C70" s="19"/>
      <c r="D70" s="19"/>
      <c r="E70" s="19"/>
      <c r="F70" s="3"/>
      <c r="G70" s="2"/>
      <c r="H70" s="3"/>
      <c r="I70" s="3"/>
      <c r="J70" s="3"/>
      <c r="K70" s="3"/>
    </row>
    <row r="71" spans="1:11" ht="33.75" customHeight="1" x14ac:dyDescent="0.25">
      <c r="A71" s="19"/>
      <c r="B71" s="19"/>
      <c r="C71" s="19"/>
      <c r="D71" s="19"/>
      <c r="E71" s="19"/>
      <c r="F71" s="3"/>
      <c r="G71" s="2"/>
      <c r="H71" s="3"/>
      <c r="I71" s="3"/>
      <c r="J71" s="3"/>
      <c r="K71" s="3"/>
    </row>
    <row r="72" spans="1:11" ht="33.75" customHeight="1" x14ac:dyDescent="0.25">
      <c r="A72" s="19"/>
      <c r="B72" s="19"/>
      <c r="C72" s="19"/>
      <c r="D72" s="19"/>
      <c r="E72" s="19"/>
      <c r="F72" s="3"/>
      <c r="G72" s="2"/>
      <c r="H72" s="3"/>
      <c r="I72" s="3"/>
      <c r="J72" s="3"/>
      <c r="K72" s="3"/>
    </row>
    <row r="73" spans="1:11" ht="33.75" customHeight="1" x14ac:dyDescent="0.25">
      <c r="A73" s="19"/>
      <c r="B73" s="19"/>
      <c r="C73" s="19"/>
      <c r="D73" s="19"/>
      <c r="E73" s="19"/>
      <c r="F73" s="3"/>
      <c r="G73" s="2"/>
      <c r="H73" s="3"/>
      <c r="I73" s="3"/>
      <c r="J73" s="3"/>
      <c r="K73" s="3"/>
    </row>
    <row r="74" spans="1:11" ht="33.75" customHeight="1" x14ac:dyDescent="0.25">
      <c r="A74" s="19"/>
      <c r="B74" s="19"/>
      <c r="C74" s="19"/>
      <c r="D74" s="19"/>
      <c r="E74" s="19"/>
      <c r="F74" s="3"/>
      <c r="G74" s="2"/>
      <c r="H74" s="3"/>
      <c r="I74" s="3"/>
      <c r="J74" s="3"/>
      <c r="K74" s="3"/>
    </row>
    <row r="75" spans="1:11" ht="33.75" customHeight="1" x14ac:dyDescent="0.25">
      <c r="A75" s="19"/>
      <c r="B75" s="19"/>
      <c r="C75" s="19"/>
      <c r="D75" s="19"/>
      <c r="E75" s="19"/>
      <c r="F75" s="3"/>
      <c r="G75" s="2"/>
      <c r="H75" s="3"/>
      <c r="I75" s="3"/>
      <c r="J75" s="3"/>
      <c r="K75" s="3"/>
    </row>
    <row r="76" spans="1:11" ht="33.75" customHeight="1" x14ac:dyDescent="0.25">
      <c r="A76" s="19"/>
      <c r="B76" s="19"/>
      <c r="C76" s="19"/>
      <c r="D76" s="19"/>
      <c r="E76" s="19"/>
      <c r="F76" s="3"/>
      <c r="G76" s="2"/>
      <c r="H76" s="3"/>
      <c r="I76" s="3"/>
      <c r="J76" s="3"/>
      <c r="K76" s="3"/>
    </row>
    <row r="77" spans="1:11" ht="33.75" customHeight="1" x14ac:dyDescent="0.25">
      <c r="A77" s="19"/>
      <c r="B77" s="19"/>
      <c r="C77" s="19"/>
      <c r="D77" s="19"/>
      <c r="E77" s="19"/>
      <c r="F77" s="3"/>
      <c r="G77" s="2"/>
      <c r="H77" s="3"/>
      <c r="I77" s="3"/>
      <c r="J77" s="3"/>
      <c r="K77" s="3"/>
    </row>
    <row r="78" spans="1:11" ht="33.75" customHeight="1" x14ac:dyDescent="0.25">
      <c r="A78" s="19"/>
      <c r="B78" s="19"/>
      <c r="C78" s="19"/>
      <c r="D78" s="19"/>
      <c r="E78" s="19"/>
      <c r="F78" s="3"/>
      <c r="G78" s="2"/>
      <c r="H78" s="3"/>
      <c r="I78" s="3"/>
      <c r="J78" s="3"/>
      <c r="K78" s="3"/>
    </row>
    <row r="79" spans="1:11" ht="33.75" customHeight="1" x14ac:dyDescent="0.25">
      <c r="A79" s="19"/>
      <c r="B79" s="19"/>
      <c r="C79" s="19"/>
      <c r="D79" s="19"/>
      <c r="E79" s="19"/>
      <c r="F79" s="3"/>
      <c r="G79" s="2"/>
      <c r="H79" s="3"/>
      <c r="I79" s="3"/>
      <c r="J79" s="3"/>
      <c r="K79" s="3"/>
    </row>
    <row r="80" spans="1:11" ht="33.75" customHeight="1" x14ac:dyDescent="0.25">
      <c r="A80" s="19"/>
      <c r="B80" s="19"/>
      <c r="C80" s="19"/>
      <c r="D80" s="19"/>
      <c r="E80" s="19"/>
      <c r="F80" s="3"/>
      <c r="G80" s="2"/>
      <c r="H80" s="3"/>
      <c r="I80" s="3"/>
      <c r="J80" s="3"/>
      <c r="K80" s="3"/>
    </row>
    <row r="81" spans="1:11" ht="33.75" customHeight="1" x14ac:dyDescent="0.25">
      <c r="A81" s="19"/>
      <c r="B81" s="19"/>
      <c r="C81" s="19"/>
      <c r="D81" s="19"/>
      <c r="E81" s="19"/>
      <c r="F81" s="3"/>
      <c r="G81" s="2"/>
      <c r="H81" s="3"/>
      <c r="I81" s="3"/>
      <c r="J81" s="3"/>
      <c r="K81" s="3"/>
    </row>
    <row r="82" spans="1:11" ht="33.75" customHeight="1" x14ac:dyDescent="0.25">
      <c r="A82" s="19"/>
      <c r="B82" s="19"/>
      <c r="C82" s="19"/>
      <c r="D82" s="19"/>
      <c r="E82" s="19"/>
      <c r="F82" s="3"/>
      <c r="G82" s="2"/>
      <c r="H82" s="3"/>
      <c r="I82" s="3"/>
      <c r="J82" s="3"/>
      <c r="K82" s="3"/>
    </row>
    <row r="83" spans="1:11" ht="33.75" customHeight="1" x14ac:dyDescent="0.25">
      <c r="A83" s="19"/>
      <c r="B83" s="19"/>
      <c r="C83" s="19"/>
      <c r="D83" s="19"/>
      <c r="E83" s="19"/>
      <c r="F83" s="3"/>
      <c r="G83" s="2"/>
      <c r="H83" s="3"/>
      <c r="I83" s="3"/>
      <c r="J83" s="3"/>
      <c r="K83" s="3"/>
    </row>
    <row r="84" spans="1:11" ht="33.75" customHeight="1" x14ac:dyDescent="0.25">
      <c r="A84" s="19"/>
      <c r="B84" s="19"/>
      <c r="C84" s="19"/>
      <c r="D84" s="19"/>
      <c r="E84" s="19"/>
      <c r="F84" s="3"/>
      <c r="G84" s="2"/>
      <c r="H84" s="3"/>
      <c r="I84" s="3"/>
      <c r="J84" s="3"/>
      <c r="K84" s="3"/>
    </row>
    <row r="85" spans="1:11" ht="33.75" customHeight="1" x14ac:dyDescent="0.25">
      <c r="A85" s="19"/>
      <c r="B85" s="19"/>
      <c r="C85" s="19"/>
      <c r="D85" s="19"/>
      <c r="E85" s="19"/>
      <c r="F85" s="3"/>
      <c r="G85" s="2"/>
      <c r="H85" s="3"/>
      <c r="I85" s="3"/>
      <c r="J85" s="3"/>
      <c r="K85" s="3"/>
    </row>
    <row r="86" spans="1:11" ht="33.75" customHeight="1" x14ac:dyDescent="0.25">
      <c r="A86" s="19"/>
      <c r="B86" s="19"/>
      <c r="C86" s="19"/>
      <c r="D86" s="19"/>
      <c r="E86" s="19"/>
      <c r="F86" s="3"/>
      <c r="G86" s="2"/>
      <c r="H86" s="3"/>
      <c r="I86" s="3"/>
      <c r="J86" s="3"/>
      <c r="K86" s="3"/>
    </row>
    <row r="87" spans="1:11" ht="33.75" customHeight="1" x14ac:dyDescent="0.25">
      <c r="A87" s="19"/>
      <c r="B87" s="19"/>
      <c r="C87" s="19"/>
      <c r="D87" s="19"/>
      <c r="E87" s="19"/>
      <c r="F87" s="3"/>
      <c r="G87" s="2"/>
      <c r="H87" s="3"/>
      <c r="I87" s="3"/>
      <c r="J87" s="3"/>
      <c r="K87" s="3"/>
    </row>
    <row r="88" spans="1:11" ht="33.75" customHeight="1" x14ac:dyDescent="0.25">
      <c r="A88" s="19"/>
      <c r="B88" s="19"/>
      <c r="C88" s="19"/>
      <c r="D88" s="19"/>
      <c r="E88" s="19"/>
      <c r="F88" s="3"/>
      <c r="G88" s="2"/>
      <c r="H88" s="3"/>
      <c r="I88" s="3"/>
      <c r="J88" s="3"/>
      <c r="K88" s="3"/>
    </row>
    <row r="89" spans="1:11" ht="33.75" customHeight="1" x14ac:dyDescent="0.25">
      <c r="A89" s="19"/>
      <c r="B89" s="19"/>
      <c r="C89" s="19"/>
      <c r="D89" s="19"/>
      <c r="E89" s="19"/>
      <c r="F89" s="3"/>
      <c r="G89" s="2"/>
      <c r="H89" s="3"/>
      <c r="I89" s="3"/>
      <c r="J89" s="3"/>
      <c r="K89" s="3"/>
    </row>
    <row r="90" spans="1:11" ht="33.75" customHeight="1" x14ac:dyDescent="0.25">
      <c r="A90" s="19"/>
      <c r="B90" s="19"/>
      <c r="C90" s="19"/>
      <c r="D90" s="19"/>
      <c r="E90" s="19"/>
      <c r="F90" s="3"/>
      <c r="G90" s="2"/>
      <c r="H90" s="3"/>
      <c r="I90" s="3"/>
      <c r="J90" s="3"/>
      <c r="K90" s="3"/>
    </row>
    <row r="91" spans="1:11" ht="33.75" customHeight="1" x14ac:dyDescent="0.25">
      <c r="A91" s="19"/>
      <c r="B91" s="19"/>
      <c r="C91" s="19"/>
      <c r="D91" s="19"/>
      <c r="E91" s="19"/>
      <c r="F91" s="3"/>
      <c r="G91" s="2"/>
      <c r="H91" s="3"/>
      <c r="I91" s="3"/>
      <c r="J91" s="3"/>
      <c r="K91" s="3"/>
    </row>
    <row r="92" spans="1:11" ht="33.75" customHeight="1" x14ac:dyDescent="0.25">
      <c r="A92" s="19"/>
      <c r="B92" s="19"/>
      <c r="C92" s="19"/>
      <c r="D92" s="19"/>
      <c r="E92" s="19"/>
      <c r="F92" s="3"/>
      <c r="G92" s="2"/>
      <c r="H92" s="3"/>
      <c r="I92" s="3"/>
      <c r="J92" s="3"/>
      <c r="K92" s="3"/>
    </row>
    <row r="93" spans="1:11" ht="33.75" customHeight="1" x14ac:dyDescent="0.25">
      <c r="A93" s="19"/>
      <c r="B93" s="19"/>
      <c r="C93" s="19"/>
      <c r="D93" s="19"/>
      <c r="E93" s="19"/>
      <c r="F93" s="3"/>
      <c r="G93" s="2"/>
      <c r="H93" s="3"/>
      <c r="I93" s="3"/>
      <c r="J93" s="3"/>
      <c r="K93" s="3"/>
    </row>
    <row r="94" spans="1:11" ht="33.75" customHeight="1" x14ac:dyDescent="0.25">
      <c r="A94" s="19"/>
      <c r="B94" s="19"/>
      <c r="C94" s="19"/>
      <c r="D94" s="19"/>
      <c r="E94" s="19"/>
      <c r="F94" s="3"/>
      <c r="G94" s="2"/>
      <c r="H94" s="3"/>
      <c r="I94" s="3"/>
      <c r="J94" s="3"/>
      <c r="K94" s="3"/>
    </row>
    <row r="95" spans="1:11" ht="33.75" customHeight="1" x14ac:dyDescent="0.25">
      <c r="A95" s="19"/>
      <c r="B95" s="19"/>
      <c r="C95" s="19"/>
      <c r="D95" s="19"/>
      <c r="E95" s="19"/>
      <c r="F95" s="3"/>
      <c r="G95" s="2"/>
      <c r="H95" s="3"/>
      <c r="I95" s="3"/>
      <c r="J95" s="3"/>
      <c r="K95" s="3"/>
    </row>
    <row r="96" spans="1:11" ht="33.75" customHeight="1" x14ac:dyDescent="0.25">
      <c r="A96" s="19"/>
      <c r="B96" s="19"/>
      <c r="C96" s="19"/>
      <c r="D96" s="19"/>
      <c r="E96" s="19"/>
      <c r="F96" s="3"/>
      <c r="G96" s="2"/>
      <c r="H96" s="3"/>
      <c r="I96" s="3"/>
      <c r="J96" s="3"/>
      <c r="K96" s="3"/>
    </row>
    <row r="97" spans="1:11" ht="33.75" customHeight="1" x14ac:dyDescent="0.25">
      <c r="A97" s="19"/>
      <c r="B97" s="19"/>
      <c r="C97" s="19"/>
      <c r="D97" s="19"/>
      <c r="E97" s="19"/>
      <c r="F97" s="3"/>
      <c r="G97" s="2"/>
      <c r="H97" s="3"/>
      <c r="I97" s="3"/>
      <c r="J97" s="3"/>
      <c r="K97" s="3"/>
    </row>
  </sheetData>
  <mergeCells count="6">
    <mergeCell ref="A5:E5"/>
    <mergeCell ref="A1:E1"/>
    <mergeCell ref="A2:B2"/>
    <mergeCell ref="A3:B3"/>
    <mergeCell ref="D2:E2"/>
    <mergeCell ref="D3:E3"/>
  </mergeCells>
  <conditionalFormatting sqref="A8:D8 A23:A27 D21 A28:D29 C23:D27 A30:C33 A10:D10 A15:A20 C15:D20 A34:D44">
    <cfRule type="expression" dxfId="371" priority="21">
      <formula>MOD(ROW(),2)=0</formula>
    </cfRule>
  </conditionalFormatting>
  <conditionalFormatting sqref="E8 E33 E10 E15:E28 E36:E44">
    <cfRule type="expression" dxfId="370" priority="22">
      <formula>MOD(ROW(),2)=0</formula>
    </cfRule>
  </conditionalFormatting>
  <conditionalFormatting sqref="E8 E33 E10 E15:E28 E36:E44">
    <cfRule type="expression" dxfId="369" priority="23">
      <formula>MOD(ROW(),2)=1</formula>
    </cfRule>
  </conditionalFormatting>
  <conditionalFormatting sqref="E29:E32">
    <cfRule type="expression" dxfId="368" priority="24">
      <formula>MOD(ROW(),2)=0</formula>
    </cfRule>
  </conditionalFormatting>
  <conditionalFormatting sqref="E29:E32">
    <cfRule type="expression" dxfId="367" priority="25">
      <formula>MOD(ROW(),2)=1</formula>
    </cfRule>
  </conditionalFormatting>
  <conditionalFormatting sqref="E34:E35">
    <cfRule type="expression" dxfId="366" priority="26">
      <formula>MOD(ROW(),2)=0</formula>
    </cfRule>
  </conditionalFormatting>
  <conditionalFormatting sqref="E34:E35">
    <cfRule type="expression" dxfId="365" priority="27">
      <formula>MOD(ROW(),2)=1</formula>
    </cfRule>
  </conditionalFormatting>
  <conditionalFormatting sqref="A21 C21">
    <cfRule type="expression" dxfId="364" priority="30">
      <formula>MOD(ROW(),2)=0</formula>
    </cfRule>
  </conditionalFormatting>
  <conditionalFormatting sqref="A13:D13">
    <cfRule type="expression" dxfId="363" priority="31">
      <formula>MOD(ROW(),2)=0</formula>
    </cfRule>
  </conditionalFormatting>
  <conditionalFormatting sqref="E13">
    <cfRule type="expression" dxfId="362" priority="32">
      <formula>MOD(ROW(),2)=0</formula>
    </cfRule>
  </conditionalFormatting>
  <conditionalFormatting sqref="E13">
    <cfRule type="expression" dxfId="361" priority="33">
      <formula>MOD(ROW(),2)=1</formula>
    </cfRule>
  </conditionalFormatting>
  <conditionalFormatting sqref="D30 D32">
    <cfRule type="expression" dxfId="360" priority="34">
      <formula>MOD(ROW(),2)=0</formula>
    </cfRule>
  </conditionalFormatting>
  <conditionalFormatting sqref="A22 C22">
    <cfRule type="expression" dxfId="359" priority="20">
      <formula>MOD(ROW(),2)=0</formula>
    </cfRule>
  </conditionalFormatting>
  <conditionalFormatting sqref="D22">
    <cfRule type="expression" dxfId="358" priority="19">
      <formula>MOD(ROW(),2)=0</formula>
    </cfRule>
  </conditionalFormatting>
  <conditionalFormatting sqref="D31">
    <cfRule type="expression" dxfId="357" priority="18">
      <formula>MOD(ROW(),2)=0</formula>
    </cfRule>
  </conditionalFormatting>
  <conditionalFormatting sqref="D33">
    <cfRule type="expression" dxfId="356" priority="16">
      <formula>MOD(ROW(),2)=0</formula>
    </cfRule>
  </conditionalFormatting>
  <conditionalFormatting sqref="A9:D9">
    <cfRule type="expression" dxfId="355" priority="13">
      <formula>MOD(ROW(),2)=0</formula>
    </cfRule>
  </conditionalFormatting>
  <conditionalFormatting sqref="A12:D12">
    <cfRule type="expression" dxfId="354" priority="10">
      <formula>MOD(ROW(),2)=0</formula>
    </cfRule>
  </conditionalFormatting>
  <conditionalFormatting sqref="E9">
    <cfRule type="expression" dxfId="353" priority="14">
      <formula>MOD(ROW(),2)=0</formula>
    </cfRule>
  </conditionalFormatting>
  <conditionalFormatting sqref="E9">
    <cfRule type="expression" dxfId="352" priority="15">
      <formula>MOD(ROW(),2)=1</formula>
    </cfRule>
  </conditionalFormatting>
  <conditionalFormatting sqref="E12">
    <cfRule type="expression" dxfId="351" priority="11">
      <formula>MOD(ROW(),2)=0</formula>
    </cfRule>
  </conditionalFormatting>
  <conditionalFormatting sqref="E12">
    <cfRule type="expression" dxfId="350" priority="12">
      <formula>MOD(ROW(),2)=1</formula>
    </cfRule>
  </conditionalFormatting>
  <conditionalFormatting sqref="A11 C11:D11">
    <cfRule type="expression" dxfId="349" priority="7">
      <formula>MOD(ROW(),2)=0</formula>
    </cfRule>
  </conditionalFormatting>
  <conditionalFormatting sqref="E11">
    <cfRule type="expression" dxfId="348" priority="8">
      <formula>MOD(ROW(),2)=0</formula>
    </cfRule>
  </conditionalFormatting>
  <conditionalFormatting sqref="E11">
    <cfRule type="expression" dxfId="347" priority="9">
      <formula>MOD(ROW(),2)=1</formula>
    </cfRule>
  </conditionalFormatting>
  <conditionalFormatting sqref="A14:D14">
    <cfRule type="expression" dxfId="346" priority="1">
      <formula>MOD(ROW(),2)=0</formula>
    </cfRule>
  </conditionalFormatting>
  <conditionalFormatting sqref="E14">
    <cfRule type="expression" dxfId="345" priority="2">
      <formula>MOD(ROW(),2)=0</formula>
    </cfRule>
  </conditionalFormatting>
  <conditionalFormatting sqref="E14">
    <cfRule type="expression" dxfId="344" priority="3">
      <formula>MOD(ROW(),2)=1</formula>
    </cfRule>
  </conditionalFormatting>
  <printOptions horizontalCentered="1"/>
  <pageMargins left="0.7" right="0.7" top="1" bottom="1" header="0" footer="0"/>
  <pageSetup paperSize="9" scale="85" fitToHeight="0" orientation="landscape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14181-D438-48C1-B82E-733BB9E5615A}">
  <sheetPr>
    <tabColor rgb="FF00B050"/>
  </sheetPr>
  <dimension ref="A1:E64"/>
  <sheetViews>
    <sheetView workbookViewId="0">
      <selection sqref="A1:E68"/>
    </sheetView>
  </sheetViews>
  <sheetFormatPr defaultRowHeight="15" x14ac:dyDescent="0.25"/>
  <cols>
    <col min="1" max="1" width="42.42578125" customWidth="1"/>
    <col min="2" max="2" width="24.42578125" customWidth="1"/>
    <col min="3" max="3" width="26.28515625" customWidth="1"/>
    <col min="4" max="4" width="28.5703125" customWidth="1"/>
    <col min="5" max="5" width="18.28515625" customWidth="1"/>
  </cols>
  <sheetData>
    <row r="1" spans="1:5" ht="74.25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ht="22.5" customHeight="1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15.75" x14ac:dyDescent="0.25">
      <c r="A4" s="58" t="s">
        <v>176</v>
      </c>
      <c r="B4" s="6"/>
      <c r="C4" s="6"/>
      <c r="D4" s="6"/>
      <c r="E4" s="6"/>
    </row>
    <row r="5" spans="1:5" ht="26.25" customHeight="1" x14ac:dyDescent="0.25">
      <c r="A5" s="65" t="s">
        <v>1</v>
      </c>
      <c r="B5" s="66"/>
      <c r="C5" s="66"/>
      <c r="D5" s="66"/>
      <c r="E5" s="66"/>
    </row>
    <row r="6" spans="1:5" x14ac:dyDescent="0.25">
      <c r="A6" s="59"/>
      <c r="B6" s="59"/>
      <c r="C6" s="59"/>
      <c r="D6" s="59"/>
      <c r="E6" s="59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2160+76977</f>
        <v>79137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1323.53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889.83+84.98</f>
        <v>974.81000000000006</v>
      </c>
    </row>
    <row r="11" spans="1:5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53.09+1327.23+1368.37</f>
        <v>2748.6899999999996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356.4+13080.45</f>
        <v>13436.85</v>
      </c>
    </row>
    <row r="13" spans="1:5" ht="45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f>22.53+2011.85</f>
        <v>2034.3799999999999</v>
      </c>
    </row>
    <row r="14" spans="1:5" x14ac:dyDescent="0.25">
      <c r="A14" s="35" t="s">
        <v>115</v>
      </c>
      <c r="B14" s="23">
        <v>74837079406</v>
      </c>
      <c r="C14" s="24" t="s">
        <v>55</v>
      </c>
      <c r="D14" s="12" t="s">
        <v>13</v>
      </c>
      <c r="E14" s="13">
        <v>405.03</v>
      </c>
    </row>
    <row r="15" spans="1:5" ht="30" x14ac:dyDescent="0.25">
      <c r="A15" s="35" t="s">
        <v>180</v>
      </c>
      <c r="B15" s="23" t="s">
        <v>181</v>
      </c>
      <c r="C15" s="24" t="s">
        <v>182</v>
      </c>
      <c r="D15" s="25" t="s">
        <v>42</v>
      </c>
      <c r="E15" s="13">
        <v>57.73</v>
      </c>
    </row>
    <row r="16" spans="1:5" s="60" customFormat="1" ht="30" x14ac:dyDescent="0.25">
      <c r="A16" s="35" t="s">
        <v>180</v>
      </c>
      <c r="B16" s="23" t="s">
        <v>181</v>
      </c>
      <c r="C16" s="24" t="s">
        <v>182</v>
      </c>
      <c r="D16" s="25" t="s">
        <v>27</v>
      </c>
      <c r="E16" s="13">
        <v>225.62</v>
      </c>
    </row>
    <row r="17" spans="1:5" ht="30" x14ac:dyDescent="0.25">
      <c r="A17" s="35" t="s">
        <v>193</v>
      </c>
      <c r="B17" s="23">
        <v>92510683607</v>
      </c>
      <c r="C17" s="24" t="s">
        <v>194</v>
      </c>
      <c r="D17" s="12" t="s">
        <v>24</v>
      </c>
      <c r="E17" s="13">
        <v>7.79</v>
      </c>
    </row>
    <row r="18" spans="1:5" ht="30" x14ac:dyDescent="0.25">
      <c r="A18" s="35" t="s">
        <v>132</v>
      </c>
      <c r="B18" s="23" t="s">
        <v>183</v>
      </c>
      <c r="C18" s="24" t="s">
        <v>93</v>
      </c>
      <c r="D18" s="25" t="s">
        <v>184</v>
      </c>
      <c r="E18" s="13">
        <v>38.25</v>
      </c>
    </row>
    <row r="19" spans="1:5" x14ac:dyDescent="0.25">
      <c r="A19" s="23" t="s">
        <v>7</v>
      </c>
      <c r="B19" s="23"/>
      <c r="C19" s="24"/>
      <c r="D19" s="25" t="s">
        <v>71</v>
      </c>
      <c r="E19" s="13">
        <f>18.4+27.99</f>
        <v>46.39</v>
      </c>
    </row>
    <row r="20" spans="1:5" ht="30" x14ac:dyDescent="0.25">
      <c r="A20" s="10" t="s">
        <v>7</v>
      </c>
      <c r="B20" s="10"/>
      <c r="C20" s="11"/>
      <c r="D20" s="12" t="s">
        <v>66</v>
      </c>
      <c r="E20" s="13">
        <f>31+98.25</f>
        <v>129.25</v>
      </c>
    </row>
    <row r="21" spans="1:5" x14ac:dyDescent="0.25">
      <c r="A21" s="10" t="s">
        <v>10</v>
      </c>
      <c r="B21" s="30">
        <v>18683136487</v>
      </c>
      <c r="C21" s="11" t="s">
        <v>11</v>
      </c>
      <c r="D21" s="12" t="s">
        <v>38</v>
      </c>
      <c r="E21" s="13">
        <v>336</v>
      </c>
    </row>
    <row r="22" spans="1:5" x14ac:dyDescent="0.25">
      <c r="A22" s="10" t="s">
        <v>39</v>
      </c>
      <c r="B22" s="29">
        <v>44138062462</v>
      </c>
      <c r="C22" s="11" t="s">
        <v>40</v>
      </c>
      <c r="D22" s="12" t="s">
        <v>41</v>
      </c>
      <c r="E22" s="13">
        <f>136.45+551.35+117.5+147.65+156.18+447.3+259.32+83.6+25.9+129.42</f>
        <v>2054.6699999999996</v>
      </c>
    </row>
    <row r="23" spans="1:5" ht="30" x14ac:dyDescent="0.25">
      <c r="A23" s="10" t="s">
        <v>17</v>
      </c>
      <c r="B23" s="29">
        <v>81793146560</v>
      </c>
      <c r="C23" s="11" t="s">
        <v>11</v>
      </c>
      <c r="D23" s="12" t="s">
        <v>16</v>
      </c>
      <c r="E23" s="13">
        <f>50.78+23.75</f>
        <v>74.53</v>
      </c>
    </row>
    <row r="24" spans="1:5" x14ac:dyDescent="0.25">
      <c r="A24" s="10" t="s">
        <v>17</v>
      </c>
      <c r="B24" s="29">
        <v>81793146560</v>
      </c>
      <c r="C24" s="11" t="s">
        <v>11</v>
      </c>
      <c r="D24" s="12" t="s">
        <v>50</v>
      </c>
      <c r="E24" s="13"/>
    </row>
    <row r="25" spans="1:5" ht="30" x14ac:dyDescent="0.25">
      <c r="A25" s="36" t="s">
        <v>107</v>
      </c>
      <c r="B25" s="10">
        <v>35321872873</v>
      </c>
      <c r="C25" s="37" t="s">
        <v>57</v>
      </c>
      <c r="D25" s="25" t="s">
        <v>184</v>
      </c>
      <c r="E25" s="13">
        <v>119.8</v>
      </c>
    </row>
    <row r="26" spans="1:5" x14ac:dyDescent="0.25">
      <c r="A26" s="23" t="s">
        <v>47</v>
      </c>
      <c r="B26" s="23">
        <v>43965974818</v>
      </c>
      <c r="C26" s="24" t="s">
        <v>11</v>
      </c>
      <c r="D26" s="11" t="s">
        <v>19</v>
      </c>
      <c r="E26" s="13">
        <f>2.98+2.85+2.99</f>
        <v>8.82</v>
      </c>
    </row>
    <row r="27" spans="1:5" x14ac:dyDescent="0.25">
      <c r="A27" s="10" t="s">
        <v>18</v>
      </c>
      <c r="B27" s="29">
        <v>63073332379</v>
      </c>
      <c r="C27" s="11" t="s">
        <v>11</v>
      </c>
      <c r="D27" s="11" t="s">
        <v>19</v>
      </c>
      <c r="E27" s="13">
        <v>373.6</v>
      </c>
    </row>
    <row r="28" spans="1:5" x14ac:dyDescent="0.25">
      <c r="A28" s="10" t="s">
        <v>20</v>
      </c>
      <c r="B28" s="10">
        <v>85821130368</v>
      </c>
      <c r="C28" s="11" t="s">
        <v>11</v>
      </c>
      <c r="D28" s="11" t="s">
        <v>21</v>
      </c>
      <c r="E28" s="13">
        <v>1.66</v>
      </c>
    </row>
    <row r="29" spans="1:5" x14ac:dyDescent="0.25">
      <c r="A29" s="10" t="s">
        <v>22</v>
      </c>
      <c r="B29" s="29">
        <v>41317489366</v>
      </c>
      <c r="C29" s="11" t="s">
        <v>23</v>
      </c>
      <c r="D29" s="11" t="s">
        <v>19</v>
      </c>
      <c r="E29" s="13">
        <f>262.36+9.37</f>
        <v>271.73</v>
      </c>
    </row>
    <row r="30" spans="1:5" x14ac:dyDescent="0.25">
      <c r="A30" s="10" t="s">
        <v>48</v>
      </c>
      <c r="B30" s="10">
        <v>97575612726</v>
      </c>
      <c r="C30" s="11" t="s">
        <v>45</v>
      </c>
      <c r="D30" s="12" t="s">
        <v>13</v>
      </c>
      <c r="E30" s="13">
        <f>11.24+11.24+11.24+11.96+86.24</f>
        <v>131.91999999999999</v>
      </c>
    </row>
    <row r="31" spans="1:5" x14ac:dyDescent="0.25">
      <c r="A31" s="10" t="s">
        <v>49</v>
      </c>
      <c r="B31" s="10">
        <v>71442681806</v>
      </c>
      <c r="C31" s="11" t="s">
        <v>45</v>
      </c>
      <c r="D31" s="12" t="s">
        <v>13</v>
      </c>
      <c r="E31" s="13">
        <f>27.79+56.35+5.54+7.8+7.8</f>
        <v>105.28</v>
      </c>
    </row>
    <row r="32" spans="1:5" x14ac:dyDescent="0.25">
      <c r="A32" s="10" t="s">
        <v>49</v>
      </c>
      <c r="B32" s="10">
        <v>71442681806</v>
      </c>
      <c r="C32" s="11" t="s">
        <v>45</v>
      </c>
      <c r="D32" s="12" t="s">
        <v>50</v>
      </c>
      <c r="E32" s="13">
        <v>0.01</v>
      </c>
    </row>
    <row r="33" spans="1:5" ht="30" x14ac:dyDescent="0.25">
      <c r="A33" s="10" t="s">
        <v>14</v>
      </c>
      <c r="B33" s="10">
        <v>87311810356</v>
      </c>
      <c r="C33" s="11" t="s">
        <v>15</v>
      </c>
      <c r="D33" s="12" t="s">
        <v>16</v>
      </c>
      <c r="E33" s="13">
        <v>28.34</v>
      </c>
    </row>
    <row r="34" spans="1:5" x14ac:dyDescent="0.25">
      <c r="A34" s="10" t="s">
        <v>73</v>
      </c>
      <c r="B34" s="10">
        <v>27332507825</v>
      </c>
      <c r="C34" s="11" t="s">
        <v>74</v>
      </c>
      <c r="D34" s="12" t="s">
        <v>75</v>
      </c>
      <c r="E34" s="13">
        <v>62.5</v>
      </c>
    </row>
    <row r="35" spans="1:5" ht="30" x14ac:dyDescent="0.25">
      <c r="A35" s="10" t="s">
        <v>54</v>
      </c>
      <c r="B35" s="10">
        <v>47414897452</v>
      </c>
      <c r="C35" s="11" t="s">
        <v>55</v>
      </c>
      <c r="D35" s="12" t="s">
        <v>24</v>
      </c>
      <c r="E35" s="13">
        <f>135.55+30.58</f>
        <v>166.13</v>
      </c>
    </row>
    <row r="36" spans="1:5" x14ac:dyDescent="0.25">
      <c r="A36" s="10" t="s">
        <v>54</v>
      </c>
      <c r="B36" s="10">
        <v>47414897452</v>
      </c>
      <c r="C36" s="11" t="s">
        <v>55</v>
      </c>
      <c r="D36" s="12" t="s">
        <v>41</v>
      </c>
      <c r="E36" s="13">
        <v>169.29</v>
      </c>
    </row>
    <row r="37" spans="1:5" x14ac:dyDescent="0.25">
      <c r="A37" s="10" t="s">
        <v>54</v>
      </c>
      <c r="B37" s="10">
        <v>47414897452</v>
      </c>
      <c r="C37" s="11" t="s">
        <v>55</v>
      </c>
      <c r="D37" s="25" t="s">
        <v>139</v>
      </c>
      <c r="E37" s="13">
        <v>7.01</v>
      </c>
    </row>
    <row r="38" spans="1:5" ht="30" x14ac:dyDescent="0.25">
      <c r="A38" s="10" t="s">
        <v>195</v>
      </c>
      <c r="B38" s="10" t="s">
        <v>196</v>
      </c>
      <c r="C38" s="11" t="s">
        <v>45</v>
      </c>
      <c r="D38" s="25" t="s">
        <v>27</v>
      </c>
      <c r="E38" s="13">
        <v>7.45</v>
      </c>
    </row>
    <row r="39" spans="1:5" x14ac:dyDescent="0.25">
      <c r="A39" s="35" t="s">
        <v>63</v>
      </c>
      <c r="B39" s="23">
        <v>18928523252</v>
      </c>
      <c r="C39" s="33" t="s">
        <v>64</v>
      </c>
      <c r="D39" s="12" t="s">
        <v>41</v>
      </c>
      <c r="E39" s="13">
        <v>72.790000000000006</v>
      </c>
    </row>
    <row r="40" spans="1:5" ht="30" x14ac:dyDescent="0.25">
      <c r="A40" s="36" t="s">
        <v>87</v>
      </c>
      <c r="B40" s="10"/>
      <c r="C40" s="37"/>
      <c r="D40" s="12" t="s">
        <v>24</v>
      </c>
      <c r="E40" s="13">
        <v>223.56</v>
      </c>
    </row>
    <row r="41" spans="1:5" x14ac:dyDescent="0.25">
      <c r="A41" s="35" t="s">
        <v>116</v>
      </c>
      <c r="B41" s="23">
        <v>75550985023</v>
      </c>
      <c r="C41" s="33" t="s">
        <v>11</v>
      </c>
      <c r="D41" s="11" t="s">
        <v>19</v>
      </c>
      <c r="E41" s="13"/>
    </row>
    <row r="42" spans="1:5" x14ac:dyDescent="0.25">
      <c r="A42" s="10" t="s">
        <v>60</v>
      </c>
      <c r="B42" s="10">
        <v>43238257395</v>
      </c>
      <c r="C42" s="11" t="s">
        <v>45</v>
      </c>
      <c r="D42" s="12" t="s">
        <v>41</v>
      </c>
      <c r="E42" s="13">
        <f>127.47+374.01</f>
        <v>501.48</v>
      </c>
    </row>
    <row r="43" spans="1:5" x14ac:dyDescent="0.25">
      <c r="A43" s="10" t="s">
        <v>61</v>
      </c>
      <c r="B43" s="10">
        <v>41976933718</v>
      </c>
      <c r="C43" s="11" t="s">
        <v>62</v>
      </c>
      <c r="D43" s="12" t="s">
        <v>41</v>
      </c>
      <c r="E43" s="13">
        <v>298.77999999999997</v>
      </c>
    </row>
    <row r="44" spans="1:5" x14ac:dyDescent="0.25">
      <c r="A44" s="10" t="s">
        <v>65</v>
      </c>
      <c r="B44" s="10">
        <v>63074697345</v>
      </c>
      <c r="C44" s="11" t="s">
        <v>45</v>
      </c>
      <c r="D44" s="12" t="s">
        <v>41</v>
      </c>
      <c r="E44" s="13">
        <v>544.07000000000005</v>
      </c>
    </row>
    <row r="45" spans="1:5" x14ac:dyDescent="0.25">
      <c r="A45" s="23" t="s">
        <v>72</v>
      </c>
      <c r="B45" s="35" t="s">
        <v>86</v>
      </c>
      <c r="C45" s="24" t="s">
        <v>11</v>
      </c>
      <c r="D45" s="12" t="s">
        <v>41</v>
      </c>
      <c r="E45" s="13">
        <f>258.6+139.03+153.55</f>
        <v>551.18000000000006</v>
      </c>
    </row>
    <row r="46" spans="1:5" x14ac:dyDescent="0.25">
      <c r="A46" s="23" t="s">
        <v>91</v>
      </c>
      <c r="B46" s="35">
        <v>96591335948</v>
      </c>
      <c r="C46" s="24" t="s">
        <v>45</v>
      </c>
      <c r="D46" s="25" t="s">
        <v>13</v>
      </c>
      <c r="E46" s="13">
        <v>28.5</v>
      </c>
    </row>
    <row r="47" spans="1:5" ht="30" x14ac:dyDescent="0.25">
      <c r="A47" s="23" t="s">
        <v>177</v>
      </c>
      <c r="B47" s="35">
        <v>26187994862</v>
      </c>
      <c r="C47" s="24" t="s">
        <v>11</v>
      </c>
      <c r="D47" s="25" t="s">
        <v>27</v>
      </c>
      <c r="E47" s="13">
        <f>1054.12+796.5</f>
        <v>1850.62</v>
      </c>
    </row>
    <row r="48" spans="1:5" ht="30" x14ac:dyDescent="0.25">
      <c r="A48" s="23" t="s">
        <v>105</v>
      </c>
      <c r="B48" s="35">
        <v>37879152548</v>
      </c>
      <c r="C48" s="24" t="s">
        <v>23</v>
      </c>
      <c r="D48" s="25" t="s">
        <v>24</v>
      </c>
      <c r="E48" s="13"/>
    </row>
    <row r="49" spans="1:5" x14ac:dyDescent="0.25">
      <c r="A49" s="23" t="s">
        <v>178</v>
      </c>
      <c r="B49" s="35"/>
      <c r="C49" s="24"/>
      <c r="D49" s="25" t="s">
        <v>43</v>
      </c>
      <c r="E49" s="13">
        <v>35.840000000000003</v>
      </c>
    </row>
    <row r="50" spans="1:5" ht="30" x14ac:dyDescent="0.25">
      <c r="A50" s="23" t="s">
        <v>179</v>
      </c>
      <c r="B50" s="35"/>
      <c r="C50" s="24"/>
      <c r="D50" s="25" t="s">
        <v>16</v>
      </c>
      <c r="E50" s="13">
        <v>300</v>
      </c>
    </row>
    <row r="51" spans="1:5" ht="30" x14ac:dyDescent="0.25">
      <c r="A51" s="23" t="s">
        <v>25</v>
      </c>
      <c r="B51" s="35">
        <v>64546066176</v>
      </c>
      <c r="C51" s="24" t="s">
        <v>11</v>
      </c>
      <c r="D51" s="25" t="s">
        <v>42</v>
      </c>
      <c r="E51" s="13">
        <f>6131.14+2342.21</f>
        <v>8473.35</v>
      </c>
    </row>
    <row r="52" spans="1:5" ht="30" x14ac:dyDescent="0.25">
      <c r="A52" s="23" t="s">
        <v>132</v>
      </c>
      <c r="B52" s="35" t="s">
        <v>183</v>
      </c>
      <c r="C52" s="24" t="s">
        <v>93</v>
      </c>
      <c r="D52" s="12" t="s">
        <v>24</v>
      </c>
      <c r="E52" s="13">
        <v>29.6</v>
      </c>
    </row>
    <row r="53" spans="1:5" s="60" customFormat="1" ht="30" x14ac:dyDescent="0.25">
      <c r="A53" s="23" t="s">
        <v>186</v>
      </c>
      <c r="B53" s="35">
        <v>43616114716</v>
      </c>
      <c r="C53" s="24" t="s">
        <v>45</v>
      </c>
      <c r="D53" s="25" t="s">
        <v>24</v>
      </c>
      <c r="E53" s="13">
        <f>80.41+56.41+15.91+8.05</f>
        <v>160.78</v>
      </c>
    </row>
    <row r="54" spans="1:5" s="60" customFormat="1" ht="30" x14ac:dyDescent="0.25">
      <c r="A54" s="23" t="s">
        <v>185</v>
      </c>
      <c r="B54" s="35"/>
      <c r="C54" s="24"/>
      <c r="D54" s="25" t="s">
        <v>24</v>
      </c>
      <c r="E54" s="13">
        <v>23.33</v>
      </c>
    </row>
    <row r="55" spans="1:5" s="60" customFormat="1" x14ac:dyDescent="0.25">
      <c r="A55" s="23" t="s">
        <v>187</v>
      </c>
      <c r="B55" s="35"/>
      <c r="C55" s="24"/>
      <c r="D55" s="25" t="s">
        <v>52</v>
      </c>
      <c r="E55" s="13">
        <v>50</v>
      </c>
    </row>
    <row r="56" spans="1:5" s="60" customFormat="1" ht="30" x14ac:dyDescent="0.25">
      <c r="A56" s="23" t="s">
        <v>188</v>
      </c>
      <c r="B56" s="35"/>
      <c r="C56" s="24"/>
      <c r="D56" s="25" t="s">
        <v>24</v>
      </c>
      <c r="E56" s="13">
        <v>100</v>
      </c>
    </row>
    <row r="57" spans="1:5" s="60" customFormat="1" ht="30" x14ac:dyDescent="0.25">
      <c r="A57" s="23" t="s">
        <v>108</v>
      </c>
      <c r="B57" s="35">
        <v>14861822643</v>
      </c>
      <c r="C57" s="24" t="s">
        <v>109</v>
      </c>
      <c r="D57" s="25" t="s">
        <v>189</v>
      </c>
      <c r="E57" s="13">
        <v>21.9</v>
      </c>
    </row>
    <row r="58" spans="1:5" s="60" customFormat="1" x14ac:dyDescent="0.25">
      <c r="A58" s="23" t="s">
        <v>94</v>
      </c>
      <c r="B58" s="35">
        <v>38967655335</v>
      </c>
      <c r="C58" s="24" t="s">
        <v>11</v>
      </c>
      <c r="D58" s="25" t="s">
        <v>43</v>
      </c>
      <c r="E58" s="13">
        <v>59.6</v>
      </c>
    </row>
    <row r="59" spans="1:5" s="60" customFormat="1" ht="30" x14ac:dyDescent="0.25">
      <c r="A59" s="23" t="s">
        <v>190</v>
      </c>
      <c r="B59" s="35">
        <v>19819724166</v>
      </c>
      <c r="C59" s="24" t="s">
        <v>191</v>
      </c>
      <c r="D59" s="25" t="s">
        <v>16</v>
      </c>
      <c r="E59" s="13">
        <v>1620</v>
      </c>
    </row>
    <row r="60" spans="1:5" s="60" customFormat="1" x14ac:dyDescent="0.25">
      <c r="A60" s="23" t="s">
        <v>192</v>
      </c>
      <c r="B60" s="35">
        <v>55305844525</v>
      </c>
      <c r="C60" s="24" t="s">
        <v>11</v>
      </c>
      <c r="D60" s="25" t="s">
        <v>43</v>
      </c>
      <c r="E60" s="13">
        <v>240</v>
      </c>
    </row>
    <row r="61" spans="1:5" s="60" customFormat="1" x14ac:dyDescent="0.25">
      <c r="A61" s="23" t="s">
        <v>78</v>
      </c>
      <c r="B61" s="35">
        <v>68419124305</v>
      </c>
      <c r="C61" s="24" t="s">
        <v>11</v>
      </c>
      <c r="D61" s="25" t="s">
        <v>38</v>
      </c>
      <c r="E61" s="13">
        <v>10.62</v>
      </c>
    </row>
    <row r="62" spans="1:5" x14ac:dyDescent="0.25">
      <c r="A62" s="16" t="s">
        <v>26</v>
      </c>
      <c r="B62" s="16"/>
      <c r="C62" s="17"/>
      <c r="D62" s="17"/>
      <c r="E62" s="18">
        <f>SUM(E8:E61)</f>
        <v>119680.05999999997</v>
      </c>
    </row>
    <row r="63" spans="1:5" x14ac:dyDescent="0.25">
      <c r="A63" s="59"/>
      <c r="B63" s="59"/>
      <c r="C63" s="59"/>
      <c r="D63" s="59"/>
      <c r="E63" s="59"/>
    </row>
    <row r="64" spans="1:5" x14ac:dyDescent="0.25">
      <c r="A64" s="41" t="s">
        <v>197</v>
      </c>
      <c r="B64" s="59"/>
      <c r="C64" s="59"/>
      <c r="D64" s="59"/>
      <c r="E64" s="59"/>
    </row>
  </sheetData>
  <mergeCells count="6">
    <mergeCell ref="A5:E5"/>
    <mergeCell ref="A1:E1"/>
    <mergeCell ref="A2:B2"/>
    <mergeCell ref="D2:E2"/>
    <mergeCell ref="A3:B3"/>
    <mergeCell ref="D3:E3"/>
  </mergeCells>
  <conditionalFormatting sqref="D37:D38 A21:A22 A26:A29 C26:D29 A42:D62">
    <cfRule type="expression" dxfId="100" priority="1">
      <formula>MOD(ROW(),2)=0</formula>
    </cfRule>
  </conditionalFormatting>
  <conditionalFormatting sqref="E21:E30 E40:E62">
    <cfRule type="expression" dxfId="99" priority="2">
      <formula>MOD(ROW(),2)=0</formula>
    </cfRule>
  </conditionalFormatting>
  <conditionalFormatting sqref="E21:E30 E40:E62">
    <cfRule type="expression" dxfId="98" priority="3">
      <formula>MOD(ROW(),2)=1</formula>
    </cfRule>
  </conditionalFormatting>
  <conditionalFormatting sqref="C21:D22">
    <cfRule type="expression" dxfId="97" priority="6">
      <formula>MOD(ROW(),2)=0</formula>
    </cfRule>
  </conditionalFormatting>
  <conditionalFormatting sqref="A25 C25">
    <cfRule type="expression" dxfId="96" priority="5">
      <formula>MOD(ROW(),2)=0</formula>
    </cfRule>
  </conditionalFormatting>
  <conditionalFormatting sqref="D17:D18 A32:C34">
    <cfRule type="expression" dxfId="95" priority="7">
      <formula>MOD(ROW(),2)=0</formula>
    </cfRule>
  </conditionalFormatting>
  <conditionalFormatting sqref="A20:D20 A41:C41 A35:D36 A39:D40 A37:C38">
    <cfRule type="expression" dxfId="94" priority="8">
      <formula>MOD(ROW(),2)=0</formula>
    </cfRule>
  </conditionalFormatting>
  <conditionalFormatting sqref="A8:D8 D23 A30:D31 A10:D10">
    <cfRule type="expression" dxfId="93" priority="21">
      <formula>MOD(ROW(),2)=0</formula>
    </cfRule>
  </conditionalFormatting>
  <conditionalFormatting sqref="E8 E34 E10">
    <cfRule type="expression" dxfId="92" priority="22">
      <formula>MOD(ROW(),2)=0</formula>
    </cfRule>
  </conditionalFormatting>
  <conditionalFormatting sqref="E8 E34 E10">
    <cfRule type="expression" dxfId="91" priority="23">
      <formula>MOD(ROW(),2)=1</formula>
    </cfRule>
  </conditionalFormatting>
  <conditionalFormatting sqref="E31:E33">
    <cfRule type="expression" dxfId="90" priority="24">
      <formula>MOD(ROW(),2)=0</formula>
    </cfRule>
  </conditionalFormatting>
  <conditionalFormatting sqref="E31:E33">
    <cfRule type="expression" dxfId="89" priority="25">
      <formula>MOD(ROW(),2)=1</formula>
    </cfRule>
  </conditionalFormatting>
  <conditionalFormatting sqref="E35:E39">
    <cfRule type="expression" dxfId="88" priority="26">
      <formula>MOD(ROW(),2)=0</formula>
    </cfRule>
  </conditionalFormatting>
  <conditionalFormatting sqref="E35:E39">
    <cfRule type="expression" dxfId="87" priority="27">
      <formula>MOD(ROW(),2)=1</formula>
    </cfRule>
  </conditionalFormatting>
  <conditionalFormatting sqref="A23 C23">
    <cfRule type="expression" dxfId="86" priority="28">
      <formula>MOD(ROW(),2)=0</formula>
    </cfRule>
  </conditionalFormatting>
  <conditionalFormatting sqref="A13:D13 A19:D19 A14:C18">
    <cfRule type="expression" dxfId="85" priority="29">
      <formula>MOD(ROW(),2)=0</formula>
    </cfRule>
  </conditionalFormatting>
  <conditionalFormatting sqref="E13:E19">
    <cfRule type="expression" dxfId="84" priority="30">
      <formula>MOD(ROW(),2)=0</formula>
    </cfRule>
  </conditionalFormatting>
  <conditionalFormatting sqref="E13:E19">
    <cfRule type="expression" dxfId="83" priority="31">
      <formula>MOD(ROW(),2)=1</formula>
    </cfRule>
  </conditionalFormatting>
  <conditionalFormatting sqref="D32">
    <cfRule type="expression" dxfId="82" priority="32">
      <formula>MOD(ROW(),2)=0</formula>
    </cfRule>
  </conditionalFormatting>
  <conditionalFormatting sqref="A24 C24">
    <cfRule type="expression" dxfId="81" priority="20">
      <formula>MOD(ROW(),2)=0</formula>
    </cfRule>
  </conditionalFormatting>
  <conditionalFormatting sqref="D24">
    <cfRule type="expression" dxfId="80" priority="19">
      <formula>MOD(ROW(),2)=0</formula>
    </cfRule>
  </conditionalFormatting>
  <conditionalFormatting sqref="D33">
    <cfRule type="expression" dxfId="79" priority="18">
      <formula>MOD(ROW(),2)=0</formula>
    </cfRule>
  </conditionalFormatting>
  <conditionalFormatting sqref="D34">
    <cfRule type="expression" dxfId="78" priority="17">
      <formula>MOD(ROW(),2)=0</formula>
    </cfRule>
  </conditionalFormatting>
  <conditionalFormatting sqref="A9:D9">
    <cfRule type="expression" dxfId="77" priority="14">
      <formula>MOD(ROW(),2)=0</formula>
    </cfRule>
  </conditionalFormatting>
  <conditionalFormatting sqref="A12:D12">
    <cfRule type="expression" dxfId="76" priority="11">
      <formula>MOD(ROW(),2)=0</formula>
    </cfRule>
  </conditionalFormatting>
  <conditionalFormatting sqref="E9">
    <cfRule type="expression" dxfId="75" priority="15">
      <formula>MOD(ROW(),2)=0</formula>
    </cfRule>
  </conditionalFormatting>
  <conditionalFormatting sqref="E9">
    <cfRule type="expression" dxfId="74" priority="16">
      <formula>MOD(ROW(),2)=1</formula>
    </cfRule>
  </conditionalFormatting>
  <conditionalFormatting sqref="E12">
    <cfRule type="expression" dxfId="73" priority="12">
      <formula>MOD(ROW(),2)=0</formula>
    </cfRule>
  </conditionalFormatting>
  <conditionalFormatting sqref="E12">
    <cfRule type="expression" dxfId="72" priority="13">
      <formula>MOD(ROW(),2)=1</formula>
    </cfRule>
  </conditionalFormatting>
  <conditionalFormatting sqref="A11 C11:D11">
    <cfRule type="expression" dxfId="71" priority="33">
      <formula>MOD(ROW(),2)=0</formula>
    </cfRule>
  </conditionalFormatting>
  <conditionalFormatting sqref="E11">
    <cfRule type="expression" dxfId="70" priority="9">
      <formula>MOD(ROW(),2)=0</formula>
    </cfRule>
  </conditionalFormatting>
  <conditionalFormatting sqref="E11">
    <cfRule type="expression" dxfId="69" priority="10">
      <formula>MOD(ROW(),2)=1</formula>
    </cfRule>
  </conditionalFormatting>
  <conditionalFormatting sqref="E20">
    <cfRule type="expression" dxfId="68" priority="34">
      <formula>MOD(ROW(),2)=0</formula>
    </cfRule>
  </conditionalFormatting>
  <conditionalFormatting sqref="E20">
    <cfRule type="expression" dxfId="67" priority="35">
      <formula>MOD(ROW(),2)=1</formula>
    </cfRule>
  </conditionalFormatting>
  <conditionalFormatting sqref="D41">
    <cfRule type="expression" dxfId="66" priority="36">
      <formula>MOD(ROW(),2)=0</formula>
    </cfRule>
  </conditionalFormatting>
  <conditionalFormatting sqref="D25">
    <cfRule type="expression" dxfId="65" priority="4">
      <formula>MOD(ROW(),2)=0</formula>
    </cfRule>
  </conditionalFormatting>
  <conditionalFormatting sqref="D14:D16">
    <cfRule type="expression" dxfId="64" priority="37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574F9-54BD-48AD-8B0F-228FFA2A7AF2}">
  <sheetPr>
    <tabColor theme="2" tint="-0.499984740745262"/>
  </sheetPr>
  <dimension ref="A1:E64"/>
  <sheetViews>
    <sheetView workbookViewId="0">
      <selection activeCell="I10" sqref="I10"/>
    </sheetView>
  </sheetViews>
  <sheetFormatPr defaultRowHeight="15" x14ac:dyDescent="0.25"/>
  <cols>
    <col min="1" max="1" width="41" customWidth="1"/>
    <col min="2" max="2" width="19.85546875" customWidth="1"/>
    <col min="3" max="3" width="26.28515625" customWidth="1"/>
    <col min="4" max="4" width="30.7109375" customWidth="1"/>
    <col min="5" max="5" width="17.42578125" customWidth="1"/>
  </cols>
  <sheetData>
    <row r="1" spans="1:5" ht="81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15.75" x14ac:dyDescent="0.25">
      <c r="A4" s="61" t="s">
        <v>198</v>
      </c>
      <c r="B4" s="6"/>
      <c r="C4" s="6"/>
      <c r="D4" s="6"/>
      <c r="E4" s="6"/>
    </row>
    <row r="5" spans="1:5" ht="15.75" x14ac:dyDescent="0.25">
      <c r="A5" s="65" t="s">
        <v>1</v>
      </c>
      <c r="B5" s="66"/>
      <c r="C5" s="66"/>
      <c r="D5" s="66"/>
      <c r="E5" s="66"/>
    </row>
    <row r="6" spans="1:5" x14ac:dyDescent="0.25">
      <c r="A6" s="62"/>
      <c r="B6" s="62"/>
      <c r="C6" s="62"/>
      <c r="D6" s="62"/>
      <c r="E6" s="62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1470.92+1634.08+78693.12</f>
        <v>81798.12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1623.11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1203.29+344.49+203.42</f>
        <v>1751.2</v>
      </c>
    </row>
    <row r="11" spans="1:5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53.09+759.38+300</f>
        <v>1112.47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512.34+13541.14</f>
        <v>14053.48</v>
      </c>
    </row>
    <row r="13" spans="1:5" ht="45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f>29.57+2669.76</f>
        <v>2699.3300000000004</v>
      </c>
    </row>
    <row r="14" spans="1:5" x14ac:dyDescent="0.25">
      <c r="A14" s="35" t="s">
        <v>7</v>
      </c>
      <c r="B14" s="23"/>
      <c r="C14" s="24"/>
      <c r="D14" s="12" t="s">
        <v>50</v>
      </c>
      <c r="E14" s="13">
        <v>0.25</v>
      </c>
    </row>
    <row r="15" spans="1:5" ht="30" x14ac:dyDescent="0.25">
      <c r="A15" s="35" t="s">
        <v>88</v>
      </c>
      <c r="B15" s="23">
        <v>71559085353</v>
      </c>
      <c r="C15" s="24" t="s">
        <v>89</v>
      </c>
      <c r="D15" s="12" t="s">
        <v>24</v>
      </c>
      <c r="E15" s="13">
        <f>70.96+143.5</f>
        <v>214.45999999999998</v>
      </c>
    </row>
    <row r="16" spans="1:5" x14ac:dyDescent="0.25">
      <c r="A16" s="23" t="s">
        <v>7</v>
      </c>
      <c r="B16" s="23"/>
      <c r="C16" s="24"/>
      <c r="D16" s="25" t="s">
        <v>71</v>
      </c>
      <c r="E16" s="13">
        <f>440.22-28.5-9-12</f>
        <v>390.72</v>
      </c>
    </row>
    <row r="17" spans="1:5" ht="30" x14ac:dyDescent="0.25">
      <c r="A17" s="10" t="s">
        <v>7</v>
      </c>
      <c r="B17" s="10"/>
      <c r="C17" s="11"/>
      <c r="D17" s="12" t="s">
        <v>66</v>
      </c>
      <c r="E17" s="13">
        <f>28.5+9+12+126</f>
        <v>175.5</v>
      </c>
    </row>
    <row r="18" spans="1:5" x14ac:dyDescent="0.25">
      <c r="A18" s="10" t="s">
        <v>10</v>
      </c>
      <c r="B18" s="30">
        <v>18683136487</v>
      </c>
      <c r="C18" s="11" t="s">
        <v>11</v>
      </c>
      <c r="D18" s="12" t="s">
        <v>38</v>
      </c>
      <c r="E18" s="13">
        <f>33.18+336</f>
        <v>369.18</v>
      </c>
    </row>
    <row r="19" spans="1:5" x14ac:dyDescent="0.25">
      <c r="A19" s="10" t="s">
        <v>39</v>
      </c>
      <c r="B19" s="29">
        <v>44138062462</v>
      </c>
      <c r="C19" s="11" t="s">
        <v>40</v>
      </c>
      <c r="D19" s="12" t="s">
        <v>41</v>
      </c>
      <c r="E19" s="13">
        <f>403.22+68.34+267.4+527.01+113.44+219.49+147.08+105.63+79.8</f>
        <v>1931.41</v>
      </c>
    </row>
    <row r="20" spans="1:5" ht="30" x14ac:dyDescent="0.25">
      <c r="A20" s="10" t="s">
        <v>17</v>
      </c>
      <c r="B20" s="29">
        <v>81793146560</v>
      </c>
      <c r="C20" s="11" t="s">
        <v>11</v>
      </c>
      <c r="D20" s="12" t="s">
        <v>16</v>
      </c>
      <c r="E20" s="13">
        <f>50.78+23.49</f>
        <v>74.27</v>
      </c>
    </row>
    <row r="21" spans="1:5" x14ac:dyDescent="0.25">
      <c r="A21" s="10" t="s">
        <v>17</v>
      </c>
      <c r="B21" s="29">
        <v>81793146560</v>
      </c>
      <c r="C21" s="11" t="s">
        <v>11</v>
      </c>
      <c r="D21" s="12" t="s">
        <v>50</v>
      </c>
      <c r="E21" s="13">
        <v>0.01</v>
      </c>
    </row>
    <row r="22" spans="1:5" ht="30" x14ac:dyDescent="0.25">
      <c r="A22" s="36" t="s">
        <v>107</v>
      </c>
      <c r="B22" s="10">
        <v>35321872873</v>
      </c>
      <c r="C22" s="37" t="s">
        <v>57</v>
      </c>
      <c r="D22" s="25" t="s">
        <v>24</v>
      </c>
      <c r="E22" s="13">
        <v>32</v>
      </c>
    </row>
    <row r="23" spans="1:5" x14ac:dyDescent="0.25">
      <c r="A23" s="23" t="s">
        <v>47</v>
      </c>
      <c r="B23" s="23">
        <v>43965974818</v>
      </c>
      <c r="C23" s="24" t="s">
        <v>11</v>
      </c>
      <c r="D23" s="11" t="s">
        <v>19</v>
      </c>
      <c r="E23" s="13">
        <f>2.85+2.98+11.86+2.85</f>
        <v>20.54</v>
      </c>
    </row>
    <row r="24" spans="1:5" x14ac:dyDescent="0.25">
      <c r="A24" s="10" t="s">
        <v>18</v>
      </c>
      <c r="B24" s="29">
        <v>63073332379</v>
      </c>
      <c r="C24" s="11" t="s">
        <v>11</v>
      </c>
      <c r="D24" s="11" t="s">
        <v>19</v>
      </c>
      <c r="E24" s="13">
        <v>635.51</v>
      </c>
    </row>
    <row r="25" spans="1:5" x14ac:dyDescent="0.25">
      <c r="A25" s="10" t="s">
        <v>20</v>
      </c>
      <c r="B25" s="10">
        <v>85821130368</v>
      </c>
      <c r="C25" s="11" t="s">
        <v>11</v>
      </c>
      <c r="D25" s="11" t="s">
        <v>21</v>
      </c>
      <c r="E25" s="13">
        <v>1.66</v>
      </c>
    </row>
    <row r="26" spans="1:5" x14ac:dyDescent="0.25">
      <c r="A26" s="10" t="s">
        <v>22</v>
      </c>
      <c r="B26" s="29">
        <v>41317489366</v>
      </c>
      <c r="C26" s="11" t="s">
        <v>23</v>
      </c>
      <c r="D26" s="11" t="s">
        <v>19</v>
      </c>
      <c r="E26" s="13">
        <f>14.54+1209.08</f>
        <v>1223.6199999999999</v>
      </c>
    </row>
    <row r="27" spans="1:5" x14ac:dyDescent="0.25">
      <c r="A27" s="10" t="s">
        <v>48</v>
      </c>
      <c r="B27" s="10">
        <v>97575612726</v>
      </c>
      <c r="C27" s="11" t="s">
        <v>45</v>
      </c>
      <c r="D27" s="12" t="s">
        <v>13</v>
      </c>
      <c r="E27" s="13">
        <f>11.24+11.24+11.96+11.96+104.23</f>
        <v>150.63</v>
      </c>
    </row>
    <row r="28" spans="1:5" x14ac:dyDescent="0.25">
      <c r="A28" s="10" t="s">
        <v>49</v>
      </c>
      <c r="B28" s="10">
        <v>71442681806</v>
      </c>
      <c r="C28" s="11" t="s">
        <v>45</v>
      </c>
      <c r="D28" s="12" t="s">
        <v>13</v>
      </c>
      <c r="E28" s="13">
        <f>7.8+5.54+47.77+90.6</f>
        <v>151.70999999999998</v>
      </c>
    </row>
    <row r="29" spans="1:5" x14ac:dyDescent="0.25">
      <c r="A29" s="10" t="s">
        <v>49</v>
      </c>
      <c r="B29" s="10">
        <v>71442681806</v>
      </c>
      <c r="C29" s="11" t="s">
        <v>45</v>
      </c>
      <c r="D29" s="12" t="s">
        <v>50</v>
      </c>
      <c r="E29" s="13">
        <f>0.1+0.02+0.04</f>
        <v>0.16</v>
      </c>
    </row>
    <row r="30" spans="1:5" ht="30" x14ac:dyDescent="0.25">
      <c r="A30" s="10" t="s">
        <v>14</v>
      </c>
      <c r="B30" s="10">
        <v>87311810356</v>
      </c>
      <c r="C30" s="11" t="s">
        <v>15</v>
      </c>
      <c r="D30" s="12" t="s">
        <v>16</v>
      </c>
      <c r="E30" s="13">
        <v>10.5</v>
      </c>
    </row>
    <row r="31" spans="1:5" x14ac:dyDescent="0.25">
      <c r="A31" s="10" t="s">
        <v>73</v>
      </c>
      <c r="B31" s="10">
        <v>27332507825</v>
      </c>
      <c r="C31" s="11" t="s">
        <v>74</v>
      </c>
      <c r="D31" s="12" t="s">
        <v>75</v>
      </c>
      <c r="E31" s="13">
        <v>62.5</v>
      </c>
    </row>
    <row r="32" spans="1:5" ht="30" x14ac:dyDescent="0.25">
      <c r="A32" s="10" t="s">
        <v>54</v>
      </c>
      <c r="B32" s="10">
        <v>47414897452</v>
      </c>
      <c r="C32" s="11" t="s">
        <v>55</v>
      </c>
      <c r="D32" s="12" t="s">
        <v>24</v>
      </c>
      <c r="E32" s="13">
        <f>12.45+21.97</f>
        <v>34.42</v>
      </c>
    </row>
    <row r="33" spans="1:5" x14ac:dyDescent="0.25">
      <c r="A33" s="10" t="s">
        <v>54</v>
      </c>
      <c r="B33" s="10">
        <v>47414897452</v>
      </c>
      <c r="C33" s="11" t="s">
        <v>55</v>
      </c>
      <c r="D33" s="12" t="s">
        <v>41</v>
      </c>
      <c r="E33" s="13">
        <v>159.66</v>
      </c>
    </row>
    <row r="34" spans="1:5" x14ac:dyDescent="0.25">
      <c r="A34" s="10" t="s">
        <v>54</v>
      </c>
      <c r="B34" s="10">
        <v>47414897452</v>
      </c>
      <c r="C34" s="11" t="s">
        <v>55</v>
      </c>
      <c r="D34" s="25" t="s">
        <v>139</v>
      </c>
      <c r="E34" s="13">
        <v>28.82</v>
      </c>
    </row>
    <row r="35" spans="1:5" x14ac:dyDescent="0.25">
      <c r="A35" s="35" t="s">
        <v>63</v>
      </c>
      <c r="B35" s="23">
        <v>18928523252</v>
      </c>
      <c r="C35" s="33" t="s">
        <v>64</v>
      </c>
      <c r="D35" s="12" t="s">
        <v>41</v>
      </c>
      <c r="E35" s="13">
        <f>18.79+110.24+137.24+23.78+52.5</f>
        <v>342.54999999999995</v>
      </c>
    </row>
    <row r="36" spans="1:5" ht="30" x14ac:dyDescent="0.25">
      <c r="A36" s="36" t="s">
        <v>87</v>
      </c>
      <c r="B36" s="10"/>
      <c r="C36" s="37"/>
      <c r="D36" s="12" t="s">
        <v>24</v>
      </c>
      <c r="E36" s="13">
        <v>362.5</v>
      </c>
    </row>
    <row r="37" spans="1:5" s="62" customFormat="1" ht="30" x14ac:dyDescent="0.25">
      <c r="A37" s="35" t="s">
        <v>87</v>
      </c>
      <c r="B37" s="23"/>
      <c r="C37" s="33"/>
      <c r="D37" s="25" t="s">
        <v>27</v>
      </c>
      <c r="E37" s="13">
        <v>125</v>
      </c>
    </row>
    <row r="38" spans="1:5" x14ac:dyDescent="0.25">
      <c r="A38" s="10" t="s">
        <v>60</v>
      </c>
      <c r="B38" s="10">
        <v>43238257395</v>
      </c>
      <c r="C38" s="11" t="s">
        <v>45</v>
      </c>
      <c r="D38" s="12" t="s">
        <v>41</v>
      </c>
      <c r="E38" s="13">
        <f>653.88+591.59</f>
        <v>1245.47</v>
      </c>
    </row>
    <row r="39" spans="1:5" x14ac:dyDescent="0.25">
      <c r="A39" s="10" t="s">
        <v>61</v>
      </c>
      <c r="B39" s="10">
        <v>41976933718</v>
      </c>
      <c r="C39" s="11" t="s">
        <v>62</v>
      </c>
      <c r="D39" s="12" t="s">
        <v>41</v>
      </c>
      <c r="E39" s="13">
        <v>242.34</v>
      </c>
    </row>
    <row r="40" spans="1:5" x14ac:dyDescent="0.25">
      <c r="A40" s="10" t="s">
        <v>65</v>
      </c>
      <c r="B40" s="10">
        <v>63074697345</v>
      </c>
      <c r="C40" s="11" t="s">
        <v>45</v>
      </c>
      <c r="D40" s="12" t="s">
        <v>41</v>
      </c>
      <c r="E40" s="13">
        <v>376.1</v>
      </c>
    </row>
    <row r="41" spans="1:5" s="62" customFormat="1" ht="30" x14ac:dyDescent="0.25">
      <c r="A41" s="10" t="s">
        <v>65</v>
      </c>
      <c r="B41" s="10">
        <v>63074697345</v>
      </c>
      <c r="C41" s="11" t="s">
        <v>45</v>
      </c>
      <c r="D41" s="25" t="s">
        <v>27</v>
      </c>
      <c r="E41" s="13">
        <v>12.8</v>
      </c>
    </row>
    <row r="42" spans="1:5" x14ac:dyDescent="0.25">
      <c r="A42" s="23" t="s">
        <v>72</v>
      </c>
      <c r="B42" s="35" t="s">
        <v>86</v>
      </c>
      <c r="C42" s="24" t="s">
        <v>11</v>
      </c>
      <c r="D42" s="12" t="s">
        <v>41</v>
      </c>
      <c r="E42" s="13">
        <f>107.65+84.28+208.13</f>
        <v>400.06</v>
      </c>
    </row>
    <row r="43" spans="1:5" x14ac:dyDescent="0.25">
      <c r="A43" s="23" t="s">
        <v>91</v>
      </c>
      <c r="B43" s="35">
        <v>96591335948</v>
      </c>
      <c r="C43" s="24" t="s">
        <v>45</v>
      </c>
      <c r="D43" s="25" t="s">
        <v>13</v>
      </c>
      <c r="E43" s="13">
        <v>28.5</v>
      </c>
    </row>
    <row r="44" spans="1:5" ht="30" x14ac:dyDescent="0.25">
      <c r="A44" s="23" t="s">
        <v>201</v>
      </c>
      <c r="B44" s="35">
        <v>18742666873</v>
      </c>
      <c r="C44" s="24" t="s">
        <v>23</v>
      </c>
      <c r="D44" s="25" t="s">
        <v>189</v>
      </c>
      <c r="E44" s="13">
        <v>2880</v>
      </c>
    </row>
    <row r="45" spans="1:5" ht="30" x14ac:dyDescent="0.25">
      <c r="A45" s="23" t="s">
        <v>105</v>
      </c>
      <c r="B45" s="35">
        <v>37879152548</v>
      </c>
      <c r="C45" s="24" t="s">
        <v>23</v>
      </c>
      <c r="D45" s="25" t="s">
        <v>24</v>
      </c>
      <c r="E45" s="13">
        <v>159.1</v>
      </c>
    </row>
    <row r="46" spans="1:5" x14ac:dyDescent="0.25">
      <c r="A46" s="23" t="s">
        <v>51</v>
      </c>
      <c r="B46" s="35">
        <v>45594774168</v>
      </c>
      <c r="C46" s="24" t="s">
        <v>45</v>
      </c>
      <c r="D46" s="25" t="s">
        <v>52</v>
      </c>
      <c r="E46" s="13">
        <f>19.75+20.5+12.5</f>
        <v>52.75</v>
      </c>
    </row>
    <row r="47" spans="1:5" ht="30" x14ac:dyDescent="0.25">
      <c r="A47" s="23" t="s">
        <v>76</v>
      </c>
      <c r="B47" s="35">
        <v>78661516143</v>
      </c>
      <c r="C47" s="24" t="s">
        <v>11</v>
      </c>
      <c r="D47" s="25" t="s">
        <v>85</v>
      </c>
      <c r="E47" s="13">
        <v>95</v>
      </c>
    </row>
    <row r="48" spans="1:5" ht="30" x14ac:dyDescent="0.25">
      <c r="A48" s="23" t="s">
        <v>202</v>
      </c>
      <c r="B48" s="35"/>
      <c r="C48" s="24"/>
      <c r="D48" s="25" t="s">
        <v>16</v>
      </c>
      <c r="E48" s="13">
        <v>90</v>
      </c>
    </row>
    <row r="49" spans="1:5" ht="30" x14ac:dyDescent="0.25">
      <c r="A49" s="23" t="s">
        <v>186</v>
      </c>
      <c r="B49" s="35">
        <v>43616114716</v>
      </c>
      <c r="C49" s="24" t="s">
        <v>45</v>
      </c>
      <c r="D49" s="25" t="s">
        <v>24</v>
      </c>
      <c r="E49" s="13">
        <f>47.01+105.73+106.84</f>
        <v>259.58000000000004</v>
      </c>
    </row>
    <row r="50" spans="1:5" ht="30" x14ac:dyDescent="0.25">
      <c r="A50" s="23" t="s">
        <v>185</v>
      </c>
      <c r="B50" s="35"/>
      <c r="C50" s="24"/>
      <c r="D50" s="25" t="s">
        <v>24</v>
      </c>
      <c r="E50" s="13">
        <v>23.5</v>
      </c>
    </row>
    <row r="51" spans="1:5" ht="30" x14ac:dyDescent="0.25">
      <c r="A51" s="23" t="s">
        <v>46</v>
      </c>
      <c r="B51" s="35">
        <v>26900108342</v>
      </c>
      <c r="C51" s="24" t="s">
        <v>45</v>
      </c>
      <c r="D51" s="25" t="s">
        <v>27</v>
      </c>
      <c r="E51" s="13">
        <v>42.3</v>
      </c>
    </row>
    <row r="52" spans="1:5" ht="30" x14ac:dyDescent="0.25">
      <c r="A52" s="23" t="s">
        <v>129</v>
      </c>
      <c r="B52" s="35">
        <v>21523879111</v>
      </c>
      <c r="C52" s="24" t="s">
        <v>101</v>
      </c>
      <c r="D52" s="25" t="s">
        <v>27</v>
      </c>
      <c r="E52" s="13">
        <v>10.34</v>
      </c>
    </row>
    <row r="53" spans="1:5" ht="30" x14ac:dyDescent="0.25">
      <c r="A53" s="23" t="s">
        <v>200</v>
      </c>
      <c r="B53" s="35" t="s">
        <v>126</v>
      </c>
      <c r="C53" s="24" t="s">
        <v>45</v>
      </c>
      <c r="D53" s="25" t="s">
        <v>189</v>
      </c>
      <c r="E53" s="13">
        <v>227.01</v>
      </c>
    </row>
    <row r="54" spans="1:5" x14ac:dyDescent="0.25">
      <c r="A54" s="23" t="s">
        <v>94</v>
      </c>
      <c r="B54" s="35">
        <v>38967655335</v>
      </c>
      <c r="C54" s="24" t="s">
        <v>11</v>
      </c>
      <c r="D54" s="25" t="s">
        <v>43</v>
      </c>
      <c r="E54" s="13"/>
    </row>
    <row r="55" spans="1:5" x14ac:dyDescent="0.25">
      <c r="A55" s="23" t="s">
        <v>199</v>
      </c>
      <c r="B55" s="35"/>
      <c r="C55" s="24"/>
      <c r="D55" s="25" t="s">
        <v>38</v>
      </c>
      <c r="E55" s="13">
        <v>114.92</v>
      </c>
    </row>
    <row r="56" spans="1:5" ht="30" x14ac:dyDescent="0.25">
      <c r="A56" s="23" t="s">
        <v>203</v>
      </c>
      <c r="B56" s="35">
        <v>48876667990</v>
      </c>
      <c r="C56" s="24" t="s">
        <v>204</v>
      </c>
      <c r="D56" s="25" t="s">
        <v>27</v>
      </c>
      <c r="E56" s="13">
        <v>37</v>
      </c>
    </row>
    <row r="57" spans="1:5" x14ac:dyDescent="0.25">
      <c r="A57" s="23" t="s">
        <v>78</v>
      </c>
      <c r="B57" s="35">
        <v>68419124305</v>
      </c>
      <c r="C57" s="24" t="s">
        <v>11</v>
      </c>
      <c r="D57" s="25" t="s">
        <v>38</v>
      </c>
      <c r="E57" s="13">
        <v>10.62</v>
      </c>
    </row>
    <row r="58" spans="1:5" x14ac:dyDescent="0.25">
      <c r="A58" s="16" t="s">
        <v>26</v>
      </c>
      <c r="B58" s="16"/>
      <c r="C58" s="17"/>
      <c r="D58" s="17"/>
      <c r="E58" s="18">
        <f>SUM(E8:E57)</f>
        <v>115842.68000000001</v>
      </c>
    </row>
    <row r="59" spans="1:5" x14ac:dyDescent="0.25">
      <c r="A59" s="62"/>
      <c r="B59" s="62"/>
      <c r="C59" s="62"/>
      <c r="D59" s="62"/>
      <c r="E59" s="62"/>
    </row>
    <row r="60" spans="1:5" x14ac:dyDescent="0.25">
      <c r="A60" s="41" t="s">
        <v>205</v>
      </c>
      <c r="B60" s="62"/>
      <c r="C60" s="62"/>
      <c r="D60" s="62"/>
      <c r="E60" s="62"/>
    </row>
    <row r="61" spans="1:5" x14ac:dyDescent="0.25">
      <c r="A61" s="62"/>
      <c r="B61" s="62"/>
      <c r="C61" s="62"/>
      <c r="D61" s="62"/>
      <c r="E61" s="62"/>
    </row>
    <row r="62" spans="1:5" x14ac:dyDescent="0.25">
      <c r="A62" s="62"/>
      <c r="B62" s="62"/>
      <c r="C62" s="62"/>
      <c r="D62" s="62"/>
      <c r="E62" s="62"/>
    </row>
    <row r="63" spans="1:5" x14ac:dyDescent="0.25">
      <c r="A63" s="62"/>
      <c r="B63" s="62"/>
      <c r="C63" s="62"/>
      <c r="D63" s="62"/>
      <c r="E63" s="62"/>
    </row>
    <row r="64" spans="1:5" x14ac:dyDescent="0.25">
      <c r="A64" s="62"/>
      <c r="B64" s="62"/>
      <c r="C64" s="62"/>
      <c r="D64" s="62"/>
      <c r="E64" s="62"/>
    </row>
  </sheetData>
  <mergeCells count="6">
    <mergeCell ref="A5:E5"/>
    <mergeCell ref="A1:E1"/>
    <mergeCell ref="A2:B2"/>
    <mergeCell ref="D2:E2"/>
    <mergeCell ref="A3:B3"/>
    <mergeCell ref="D3:E3"/>
  </mergeCells>
  <conditionalFormatting sqref="D34 A18:A19 A23:A26 C23:D26 D14 A14:C15 A38:D58">
    <cfRule type="expression" dxfId="63" priority="1">
      <formula>MOD(ROW(),2)=0</formula>
    </cfRule>
  </conditionalFormatting>
  <conditionalFormatting sqref="E13:E16 E32:E58">
    <cfRule type="expression" dxfId="62" priority="2">
      <formula>MOD(ROW(),2)=0</formula>
    </cfRule>
  </conditionalFormatting>
  <conditionalFormatting sqref="E13:E16 E32:E58">
    <cfRule type="expression" dxfId="61" priority="3">
      <formula>MOD(ROW(),2)=1</formula>
    </cfRule>
  </conditionalFormatting>
  <conditionalFormatting sqref="E18:E27">
    <cfRule type="expression" dxfId="60" priority="4">
      <formula>MOD(ROW(),2)=0</formula>
    </cfRule>
  </conditionalFormatting>
  <conditionalFormatting sqref="E18:E27">
    <cfRule type="expression" dxfId="59" priority="5">
      <formula>MOD(ROW(),2)=1</formula>
    </cfRule>
  </conditionalFormatting>
  <conditionalFormatting sqref="C18:D19">
    <cfRule type="expression" dxfId="58" priority="6">
      <formula>MOD(ROW(),2)=0</formula>
    </cfRule>
  </conditionalFormatting>
  <conditionalFormatting sqref="A22 C22">
    <cfRule type="expression" dxfId="57" priority="7">
      <formula>MOD(ROW(),2)=0</formula>
    </cfRule>
  </conditionalFormatting>
  <conditionalFormatting sqref="D15 A29:C31">
    <cfRule type="expression" dxfId="56" priority="8">
      <formula>MOD(ROW(),2)=0</formula>
    </cfRule>
  </conditionalFormatting>
  <conditionalFormatting sqref="A17:D17 A32:D33 A35:D37 A34:C34">
    <cfRule type="expression" dxfId="55" priority="9">
      <formula>MOD(ROW(),2)=0</formula>
    </cfRule>
  </conditionalFormatting>
  <conditionalFormatting sqref="A8:D8 D20 A27:D28 A10:D10">
    <cfRule type="expression" dxfId="54" priority="21">
      <formula>MOD(ROW(),2)=0</formula>
    </cfRule>
  </conditionalFormatting>
  <conditionalFormatting sqref="E8 E31 E10">
    <cfRule type="expression" dxfId="53" priority="22">
      <formula>MOD(ROW(),2)=0</formula>
    </cfRule>
  </conditionalFormatting>
  <conditionalFormatting sqref="E8 E31 E10">
    <cfRule type="expression" dxfId="52" priority="23">
      <formula>MOD(ROW(),2)=1</formula>
    </cfRule>
  </conditionalFormatting>
  <conditionalFormatting sqref="E28:E30">
    <cfRule type="expression" dxfId="51" priority="24">
      <formula>MOD(ROW(),2)=0</formula>
    </cfRule>
  </conditionalFormatting>
  <conditionalFormatting sqref="E28:E30">
    <cfRule type="expression" dxfId="50" priority="25">
      <formula>MOD(ROW(),2)=1</formula>
    </cfRule>
  </conditionalFormatting>
  <conditionalFormatting sqref="A20 C20">
    <cfRule type="expression" dxfId="49" priority="28">
      <formula>MOD(ROW(),2)=0</formula>
    </cfRule>
  </conditionalFormatting>
  <conditionalFormatting sqref="A13:D13 A16:D16">
    <cfRule type="expression" dxfId="48" priority="29">
      <formula>MOD(ROW(),2)=0</formula>
    </cfRule>
  </conditionalFormatting>
  <conditionalFormatting sqref="D29">
    <cfRule type="expression" dxfId="47" priority="32">
      <formula>MOD(ROW(),2)=0</formula>
    </cfRule>
  </conditionalFormatting>
  <conditionalFormatting sqref="A21 C21">
    <cfRule type="expression" dxfId="46" priority="20">
      <formula>MOD(ROW(),2)=0</formula>
    </cfRule>
  </conditionalFormatting>
  <conditionalFormatting sqref="D21">
    <cfRule type="expression" dxfId="45" priority="19">
      <formula>MOD(ROW(),2)=0</formula>
    </cfRule>
  </conditionalFormatting>
  <conditionalFormatting sqref="D30">
    <cfRule type="expression" dxfId="44" priority="18">
      <formula>MOD(ROW(),2)=0</formula>
    </cfRule>
  </conditionalFormatting>
  <conditionalFormatting sqref="D31">
    <cfRule type="expression" dxfId="43" priority="17">
      <formula>MOD(ROW(),2)=0</formula>
    </cfRule>
  </conditionalFormatting>
  <conditionalFormatting sqref="A9:D9">
    <cfRule type="expression" dxfId="42" priority="14">
      <formula>MOD(ROW(),2)=0</formula>
    </cfRule>
  </conditionalFormatting>
  <conditionalFormatting sqref="A12:D12">
    <cfRule type="expression" dxfId="41" priority="11">
      <formula>MOD(ROW(),2)=0</formula>
    </cfRule>
  </conditionalFormatting>
  <conditionalFormatting sqref="E9">
    <cfRule type="expression" dxfId="40" priority="15">
      <formula>MOD(ROW(),2)=0</formula>
    </cfRule>
  </conditionalFormatting>
  <conditionalFormatting sqref="E9">
    <cfRule type="expression" dxfId="39" priority="16">
      <formula>MOD(ROW(),2)=1</formula>
    </cfRule>
  </conditionalFormatting>
  <conditionalFormatting sqref="E12">
    <cfRule type="expression" dxfId="38" priority="12">
      <formula>MOD(ROW(),2)=0</formula>
    </cfRule>
  </conditionalFormatting>
  <conditionalFormatting sqref="E12">
    <cfRule type="expression" dxfId="37" priority="13">
      <formula>MOD(ROW(),2)=1</formula>
    </cfRule>
  </conditionalFormatting>
  <conditionalFormatting sqref="A11 C11:D11">
    <cfRule type="expression" dxfId="36" priority="33">
      <formula>MOD(ROW(),2)=0</formula>
    </cfRule>
  </conditionalFormatting>
  <conditionalFormatting sqref="E11">
    <cfRule type="expression" dxfId="35" priority="34">
      <formula>MOD(ROW(),2)=0</formula>
    </cfRule>
  </conditionalFormatting>
  <conditionalFormatting sqref="E11">
    <cfRule type="expression" dxfId="34" priority="10">
      <formula>MOD(ROW(),2)=1</formula>
    </cfRule>
  </conditionalFormatting>
  <conditionalFormatting sqref="E17">
    <cfRule type="expression" dxfId="33" priority="35">
      <formula>MOD(ROW(),2)=0</formula>
    </cfRule>
  </conditionalFormatting>
  <conditionalFormatting sqref="E17">
    <cfRule type="expression" dxfId="32" priority="36">
      <formula>MOD(ROW(),2)=1</formula>
    </cfRule>
  </conditionalFormatting>
  <conditionalFormatting sqref="D22">
    <cfRule type="expression" dxfId="31" priority="37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1ED0E-5801-4CBE-8A70-545DDD6D0DE4}">
  <sheetPr>
    <tabColor theme="9" tint="0.39997558519241921"/>
  </sheetPr>
  <dimension ref="A1:E70"/>
  <sheetViews>
    <sheetView tabSelected="1" topLeftCell="A64" workbookViewId="0">
      <selection activeCell="A71" sqref="A71"/>
    </sheetView>
  </sheetViews>
  <sheetFormatPr defaultRowHeight="15" x14ac:dyDescent="0.25"/>
  <cols>
    <col min="1" max="1" width="44.5703125" customWidth="1"/>
    <col min="2" max="2" width="22.42578125" customWidth="1"/>
    <col min="3" max="3" width="23.42578125" customWidth="1"/>
    <col min="4" max="4" width="30.42578125" customWidth="1"/>
    <col min="5" max="5" width="22" customWidth="1"/>
  </cols>
  <sheetData>
    <row r="1" spans="1:5" ht="15.75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15.75" x14ac:dyDescent="0.25">
      <c r="A4" s="63" t="s">
        <v>206</v>
      </c>
      <c r="B4" s="6"/>
      <c r="C4" s="6"/>
      <c r="D4" s="6"/>
      <c r="E4" s="6"/>
    </row>
    <row r="5" spans="1:5" ht="15.75" x14ac:dyDescent="0.25">
      <c r="A5" s="65" t="s">
        <v>1</v>
      </c>
      <c r="B5" s="66"/>
      <c r="C5" s="66"/>
      <c r="D5" s="66"/>
      <c r="E5" s="66"/>
    </row>
    <row r="6" spans="1:5" x14ac:dyDescent="0.25">
      <c r="A6" s="64"/>
      <c r="B6" s="64"/>
      <c r="C6" s="64"/>
      <c r="D6" s="64"/>
      <c r="E6" s="64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2835+79577.31</f>
        <v>82412.31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1765.6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1090.67+194.33+198.31</f>
        <v>1483.31</v>
      </c>
    </row>
    <row r="11" spans="1:5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53.09+900+4000+300+14100</f>
        <v>19353.09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467.79+13666.33</f>
        <v>14134.12</v>
      </c>
    </row>
    <row r="13" spans="1:5" ht="45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f>26.75+2424.85</f>
        <v>2451.6</v>
      </c>
    </row>
    <row r="14" spans="1:5" ht="30" x14ac:dyDescent="0.25">
      <c r="A14" s="35" t="s">
        <v>88</v>
      </c>
      <c r="B14" s="23">
        <v>71559085353</v>
      </c>
      <c r="C14" s="24" t="s">
        <v>89</v>
      </c>
      <c r="D14" s="12" t="s">
        <v>24</v>
      </c>
      <c r="E14" s="13">
        <v>108.2</v>
      </c>
    </row>
    <row r="15" spans="1:5" x14ac:dyDescent="0.25">
      <c r="A15" s="23" t="s">
        <v>7</v>
      </c>
      <c r="B15" s="23"/>
      <c r="C15" s="24"/>
      <c r="D15" s="25" t="s">
        <v>71</v>
      </c>
      <c r="E15" s="13">
        <f>161+96.8+10.98+24</f>
        <v>292.78000000000003</v>
      </c>
    </row>
    <row r="16" spans="1:5" ht="44.25" customHeight="1" x14ac:dyDescent="0.25">
      <c r="A16" s="10" t="s">
        <v>7</v>
      </c>
      <c r="B16" s="10"/>
      <c r="C16" s="11"/>
      <c r="D16" s="12" t="s">
        <v>66</v>
      </c>
      <c r="E16" s="13">
        <f>43.2+118</f>
        <v>161.19999999999999</v>
      </c>
    </row>
    <row r="17" spans="1:5" x14ac:dyDescent="0.25">
      <c r="A17" s="10" t="s">
        <v>10</v>
      </c>
      <c r="B17" s="30">
        <v>18683136487</v>
      </c>
      <c r="C17" s="11" t="s">
        <v>11</v>
      </c>
      <c r="D17" s="12" t="s">
        <v>38</v>
      </c>
      <c r="E17" s="13">
        <v>336</v>
      </c>
    </row>
    <row r="18" spans="1:5" s="64" customFormat="1" ht="30" x14ac:dyDescent="0.25">
      <c r="A18" s="23" t="s">
        <v>39</v>
      </c>
      <c r="B18" s="29">
        <v>44138062462</v>
      </c>
      <c r="C18" s="11" t="s">
        <v>40</v>
      </c>
      <c r="D18" s="25" t="s">
        <v>27</v>
      </c>
      <c r="E18" s="13">
        <f>183.52+39.9</f>
        <v>223.42000000000002</v>
      </c>
    </row>
    <row r="19" spans="1:5" x14ac:dyDescent="0.25">
      <c r="A19" s="10" t="s">
        <v>39</v>
      </c>
      <c r="B19" s="29">
        <v>44138062462</v>
      </c>
      <c r="C19" s="11" t="s">
        <v>40</v>
      </c>
      <c r="D19" s="12" t="s">
        <v>41</v>
      </c>
      <c r="E19" s="13">
        <f>257.27+434.22+125.73+140.51+96.38+78.45+78+162.68+236.39+135.68+61.05+531.8+74.88+150.45</f>
        <v>2563.4899999999998</v>
      </c>
    </row>
    <row r="20" spans="1:5" ht="58.5" customHeight="1" x14ac:dyDescent="0.25">
      <c r="A20" s="10" t="s">
        <v>17</v>
      </c>
      <c r="B20" s="29">
        <v>81793146560</v>
      </c>
      <c r="C20" s="11" t="s">
        <v>11</v>
      </c>
      <c r="D20" s="12" t="s">
        <v>16</v>
      </c>
      <c r="E20" s="13">
        <f>50.78+23.49</f>
        <v>74.27</v>
      </c>
    </row>
    <row r="21" spans="1:5" x14ac:dyDescent="0.25">
      <c r="A21" s="10" t="s">
        <v>17</v>
      </c>
      <c r="B21" s="29">
        <v>81793146560</v>
      </c>
      <c r="C21" s="11" t="s">
        <v>11</v>
      </c>
      <c r="D21" s="12" t="s">
        <v>50</v>
      </c>
      <c r="E21" s="13">
        <f>0.01+0.08</f>
        <v>0.09</v>
      </c>
    </row>
    <row r="22" spans="1:5" x14ac:dyDescent="0.25">
      <c r="A22" s="23" t="s">
        <v>47</v>
      </c>
      <c r="B22" s="23">
        <v>43965974818</v>
      </c>
      <c r="C22" s="24" t="s">
        <v>11</v>
      </c>
      <c r="D22" s="11" t="s">
        <v>19</v>
      </c>
      <c r="E22" s="13">
        <f>2.85+2.85+2.62</f>
        <v>8.32</v>
      </c>
    </row>
    <row r="23" spans="1:5" x14ac:dyDescent="0.25">
      <c r="A23" s="10" t="s">
        <v>18</v>
      </c>
      <c r="B23" s="29">
        <v>63073332379</v>
      </c>
      <c r="C23" s="11" t="s">
        <v>11</v>
      </c>
      <c r="D23" s="11" t="s">
        <v>19</v>
      </c>
      <c r="E23" s="13">
        <v>753.82</v>
      </c>
    </row>
    <row r="24" spans="1:5" x14ac:dyDescent="0.25">
      <c r="A24" s="10" t="s">
        <v>20</v>
      </c>
      <c r="B24" s="10">
        <v>85821130368</v>
      </c>
      <c r="C24" s="11" t="s">
        <v>11</v>
      </c>
      <c r="D24" s="11" t="s">
        <v>21</v>
      </c>
      <c r="E24" s="13">
        <v>1.66</v>
      </c>
    </row>
    <row r="25" spans="1:5" x14ac:dyDescent="0.25">
      <c r="A25" s="10" t="s">
        <v>22</v>
      </c>
      <c r="B25" s="29">
        <v>41317489366</v>
      </c>
      <c r="C25" s="11" t="s">
        <v>23</v>
      </c>
      <c r="D25" s="11" t="s">
        <v>19</v>
      </c>
      <c r="E25" s="13">
        <f>17.04+3281.86</f>
        <v>3298.9</v>
      </c>
    </row>
    <row r="26" spans="1:5" x14ac:dyDescent="0.25">
      <c r="A26" s="10" t="s">
        <v>48</v>
      </c>
      <c r="B26" s="10">
        <v>97575612726</v>
      </c>
      <c r="C26" s="11" t="s">
        <v>45</v>
      </c>
      <c r="D26" s="12" t="s">
        <v>13</v>
      </c>
      <c r="E26" s="13">
        <f>11.24+11.96+11.24+11.96+86.24</f>
        <v>132.63999999999999</v>
      </c>
    </row>
    <row r="27" spans="1:5" x14ac:dyDescent="0.25">
      <c r="A27" s="10" t="s">
        <v>49</v>
      </c>
      <c r="B27" s="10">
        <v>71442681806</v>
      </c>
      <c r="C27" s="11" t="s">
        <v>45</v>
      </c>
      <c r="D27" s="12" t="s">
        <v>13</v>
      </c>
      <c r="E27" s="13">
        <f>7.8+130.57+39.21+5.54</f>
        <v>183.12</v>
      </c>
    </row>
    <row r="28" spans="1:5" x14ac:dyDescent="0.25">
      <c r="A28" s="10" t="s">
        <v>49</v>
      </c>
      <c r="B28" s="10">
        <v>71442681806</v>
      </c>
      <c r="C28" s="11" t="s">
        <v>45</v>
      </c>
      <c r="D28" s="12" t="s">
        <v>50</v>
      </c>
      <c r="E28" s="13">
        <f>0.01+0.08+0.15+0.01</f>
        <v>0.25</v>
      </c>
    </row>
    <row r="29" spans="1:5" ht="52.5" customHeight="1" x14ac:dyDescent="0.25">
      <c r="A29" s="10" t="s">
        <v>14</v>
      </c>
      <c r="B29" s="10">
        <v>87311810356</v>
      </c>
      <c r="C29" s="11" t="s">
        <v>15</v>
      </c>
      <c r="D29" s="12" t="s">
        <v>16</v>
      </c>
      <c r="E29" s="13">
        <v>26.24</v>
      </c>
    </row>
    <row r="30" spans="1:5" x14ac:dyDescent="0.25">
      <c r="A30" s="10" t="s">
        <v>73</v>
      </c>
      <c r="B30" s="10">
        <v>27332507825</v>
      </c>
      <c r="C30" s="11" t="s">
        <v>74</v>
      </c>
      <c r="D30" s="12" t="s">
        <v>75</v>
      </c>
      <c r="E30" s="13">
        <f>62.5+62.5</f>
        <v>125</v>
      </c>
    </row>
    <row r="31" spans="1:5" ht="30" x14ac:dyDescent="0.25">
      <c r="A31" s="10" t="s">
        <v>54</v>
      </c>
      <c r="B31" s="10">
        <v>47414897452</v>
      </c>
      <c r="C31" s="11" t="s">
        <v>55</v>
      </c>
      <c r="D31" s="12" t="s">
        <v>24</v>
      </c>
      <c r="E31" s="13">
        <f>40.33+12.91</f>
        <v>53.239999999999995</v>
      </c>
    </row>
    <row r="32" spans="1:5" s="64" customFormat="1" ht="30" x14ac:dyDescent="0.25">
      <c r="A32" s="10" t="s">
        <v>54</v>
      </c>
      <c r="B32" s="10">
        <v>47414897452</v>
      </c>
      <c r="C32" s="11" t="s">
        <v>55</v>
      </c>
      <c r="D32" s="25" t="s">
        <v>27</v>
      </c>
      <c r="E32" s="13">
        <v>177</v>
      </c>
    </row>
    <row r="33" spans="1:5" x14ac:dyDescent="0.25">
      <c r="A33" s="10" t="s">
        <v>54</v>
      </c>
      <c r="B33" s="10">
        <v>47414897452</v>
      </c>
      <c r="C33" s="11" t="s">
        <v>55</v>
      </c>
      <c r="D33" s="12" t="s">
        <v>41</v>
      </c>
      <c r="E33" s="13">
        <f>101.73+3.64</f>
        <v>105.37</v>
      </c>
    </row>
    <row r="34" spans="1:5" x14ac:dyDescent="0.25">
      <c r="A34" s="10" t="s">
        <v>211</v>
      </c>
      <c r="B34" s="10"/>
      <c r="C34" s="11"/>
      <c r="D34" s="25" t="s">
        <v>41</v>
      </c>
      <c r="E34" s="13">
        <v>76</v>
      </c>
    </row>
    <row r="35" spans="1:5" x14ac:dyDescent="0.25">
      <c r="A35" s="35" t="s">
        <v>63</v>
      </c>
      <c r="B35" s="23">
        <v>18928523252</v>
      </c>
      <c r="C35" s="33" t="s">
        <v>64</v>
      </c>
      <c r="D35" s="12" t="s">
        <v>41</v>
      </c>
      <c r="E35" s="13">
        <f>28.5+140.53</f>
        <v>169.03</v>
      </c>
    </row>
    <row r="36" spans="1:5" ht="47.25" customHeight="1" x14ac:dyDescent="0.25">
      <c r="A36" s="36" t="s">
        <v>87</v>
      </c>
      <c r="B36" s="10"/>
      <c r="C36" s="37"/>
      <c r="D36" s="12" t="s">
        <v>24</v>
      </c>
      <c r="E36" s="13">
        <f>71.38+18.25</f>
        <v>89.63</v>
      </c>
    </row>
    <row r="37" spans="1:5" ht="30" x14ac:dyDescent="0.25">
      <c r="A37" s="35" t="s">
        <v>25</v>
      </c>
      <c r="B37" s="23">
        <v>64546066176</v>
      </c>
      <c r="C37" s="33" t="s">
        <v>11</v>
      </c>
      <c r="D37" s="25" t="s">
        <v>79</v>
      </c>
      <c r="E37" s="13">
        <v>690</v>
      </c>
    </row>
    <row r="38" spans="1:5" x14ac:dyDescent="0.25">
      <c r="A38" s="10" t="s">
        <v>60</v>
      </c>
      <c r="B38" s="10">
        <v>43238257395</v>
      </c>
      <c r="C38" s="11" t="s">
        <v>45</v>
      </c>
      <c r="D38" s="12" t="s">
        <v>41</v>
      </c>
      <c r="E38" s="13">
        <f>390.75+666.56</f>
        <v>1057.31</v>
      </c>
    </row>
    <row r="39" spans="1:5" s="64" customFormat="1" ht="30" x14ac:dyDescent="0.25">
      <c r="A39" s="10" t="s">
        <v>60</v>
      </c>
      <c r="B39" s="10">
        <v>43238257395</v>
      </c>
      <c r="C39" s="11" t="s">
        <v>45</v>
      </c>
      <c r="D39" s="25" t="s">
        <v>27</v>
      </c>
      <c r="E39" s="13">
        <f>31.86+146.35</f>
        <v>178.20999999999998</v>
      </c>
    </row>
    <row r="40" spans="1:5" x14ac:dyDescent="0.25">
      <c r="A40" s="10" t="s">
        <v>61</v>
      </c>
      <c r="B40" s="10">
        <v>41976933718</v>
      </c>
      <c r="C40" s="11" t="s">
        <v>62</v>
      </c>
      <c r="D40" s="12" t="s">
        <v>41</v>
      </c>
      <c r="E40" s="13">
        <v>193.28</v>
      </c>
    </row>
    <row r="41" spans="1:5" ht="48.75" customHeight="1" x14ac:dyDescent="0.25">
      <c r="A41" s="10" t="s">
        <v>65</v>
      </c>
      <c r="B41" s="10">
        <v>63074697345</v>
      </c>
      <c r="C41" s="11" t="s">
        <v>45</v>
      </c>
      <c r="D41" s="12" t="s">
        <v>41</v>
      </c>
      <c r="E41" s="13">
        <v>268.52</v>
      </c>
    </row>
    <row r="42" spans="1:5" ht="30" x14ac:dyDescent="0.25">
      <c r="A42" s="10" t="s">
        <v>195</v>
      </c>
      <c r="B42" s="10" t="s">
        <v>196</v>
      </c>
      <c r="C42" s="11" t="s">
        <v>45</v>
      </c>
      <c r="D42" s="25" t="s">
        <v>24</v>
      </c>
      <c r="E42" s="13">
        <v>9.6</v>
      </c>
    </row>
    <row r="43" spans="1:5" ht="49.5" customHeight="1" x14ac:dyDescent="0.25">
      <c r="A43" s="23" t="s">
        <v>72</v>
      </c>
      <c r="B43" s="35" t="s">
        <v>86</v>
      </c>
      <c r="C43" s="24" t="s">
        <v>11</v>
      </c>
      <c r="D43" s="12" t="s">
        <v>41</v>
      </c>
      <c r="E43" s="13">
        <v>180</v>
      </c>
    </row>
    <row r="44" spans="1:5" ht="30" x14ac:dyDescent="0.25">
      <c r="A44" s="23" t="s">
        <v>193</v>
      </c>
      <c r="B44" s="35">
        <v>92510603607</v>
      </c>
      <c r="C44" s="24" t="s">
        <v>45</v>
      </c>
      <c r="D44" s="25" t="s">
        <v>24</v>
      </c>
      <c r="E44" s="13">
        <v>13.77</v>
      </c>
    </row>
    <row r="45" spans="1:5" ht="30" x14ac:dyDescent="0.25">
      <c r="A45" s="23" t="s">
        <v>207</v>
      </c>
      <c r="B45" s="35">
        <v>18742666873</v>
      </c>
      <c r="C45" s="24" t="s">
        <v>23</v>
      </c>
      <c r="D45" s="25" t="s">
        <v>16</v>
      </c>
      <c r="E45" s="13">
        <v>350</v>
      </c>
    </row>
    <row r="46" spans="1:5" s="64" customFormat="1" x14ac:dyDescent="0.25">
      <c r="A46" s="23" t="s">
        <v>51</v>
      </c>
      <c r="B46" s="35">
        <v>45594774168</v>
      </c>
      <c r="C46" s="24" t="s">
        <v>45</v>
      </c>
      <c r="D46" s="25" t="s">
        <v>52</v>
      </c>
      <c r="E46" s="13">
        <v>4.16</v>
      </c>
    </row>
    <row r="47" spans="1:5" s="64" customFormat="1" ht="30" x14ac:dyDescent="0.25">
      <c r="A47" s="23" t="s">
        <v>51</v>
      </c>
      <c r="B47" s="35">
        <v>45594774168</v>
      </c>
      <c r="C47" s="24" t="s">
        <v>45</v>
      </c>
      <c r="D47" s="25" t="s">
        <v>27</v>
      </c>
      <c r="E47" s="13">
        <v>51.18</v>
      </c>
    </row>
    <row r="48" spans="1:5" ht="30" x14ac:dyDescent="0.25">
      <c r="A48" s="23" t="s">
        <v>51</v>
      </c>
      <c r="B48" s="35">
        <v>45594774168</v>
      </c>
      <c r="C48" s="24" t="s">
        <v>45</v>
      </c>
      <c r="D48" s="25" t="s">
        <v>209</v>
      </c>
      <c r="E48" s="13">
        <v>1995</v>
      </c>
    </row>
    <row r="49" spans="1:5" x14ac:dyDescent="0.25">
      <c r="A49" s="23" t="s">
        <v>115</v>
      </c>
      <c r="B49" s="35">
        <v>74837079406</v>
      </c>
      <c r="C49" s="24" t="s">
        <v>55</v>
      </c>
      <c r="D49" s="25" t="s">
        <v>13</v>
      </c>
      <c r="E49" s="13">
        <v>405.03</v>
      </c>
    </row>
    <row r="50" spans="1:5" ht="30" x14ac:dyDescent="0.25">
      <c r="A50" s="23" t="s">
        <v>216</v>
      </c>
      <c r="B50" s="35"/>
      <c r="C50" s="24"/>
      <c r="D50" s="25" t="s">
        <v>24</v>
      </c>
      <c r="E50" s="13">
        <f>15.19+7.04+11.94+4.9+6.5</f>
        <v>45.57</v>
      </c>
    </row>
    <row r="51" spans="1:5" ht="30" x14ac:dyDescent="0.25">
      <c r="A51" s="23" t="s">
        <v>186</v>
      </c>
      <c r="B51" s="35">
        <v>43616114716</v>
      </c>
      <c r="C51" s="24" t="s">
        <v>45</v>
      </c>
      <c r="D51" s="25" t="s">
        <v>27</v>
      </c>
      <c r="E51" s="13">
        <v>12.05</v>
      </c>
    </row>
    <row r="52" spans="1:5" ht="30" x14ac:dyDescent="0.25">
      <c r="A52" s="23" t="s">
        <v>185</v>
      </c>
      <c r="B52" s="35"/>
      <c r="C52" s="24"/>
      <c r="D52" s="25" t="s">
        <v>27</v>
      </c>
      <c r="E52" s="13">
        <v>19.64</v>
      </c>
    </row>
    <row r="53" spans="1:5" ht="45" customHeight="1" x14ac:dyDescent="0.25">
      <c r="A53" s="23" t="s">
        <v>46</v>
      </c>
      <c r="B53" s="35">
        <v>26900108342</v>
      </c>
      <c r="C53" s="24" t="s">
        <v>45</v>
      </c>
      <c r="D53" s="25" t="s">
        <v>27</v>
      </c>
      <c r="E53" s="13">
        <v>33.93</v>
      </c>
    </row>
    <row r="54" spans="1:5" ht="30" x14ac:dyDescent="0.25">
      <c r="A54" s="23" t="s">
        <v>210</v>
      </c>
      <c r="B54" s="35"/>
      <c r="C54" s="24"/>
      <c r="D54" s="25" t="s">
        <v>27</v>
      </c>
      <c r="E54" s="13">
        <v>186.32</v>
      </c>
    </row>
    <row r="55" spans="1:5" ht="45" x14ac:dyDescent="0.25">
      <c r="A55" s="23" t="s">
        <v>211</v>
      </c>
      <c r="B55" s="35"/>
      <c r="C55" s="24"/>
      <c r="D55" s="25" t="s">
        <v>212</v>
      </c>
      <c r="E55" s="13">
        <v>180</v>
      </c>
    </row>
    <row r="56" spans="1:5" s="64" customFormat="1" x14ac:dyDescent="0.25">
      <c r="A56" s="23" t="s">
        <v>222</v>
      </c>
      <c r="B56" s="35">
        <v>13653700851</v>
      </c>
      <c r="C56" s="24" t="s">
        <v>40</v>
      </c>
      <c r="D56" s="25" t="s">
        <v>43</v>
      </c>
      <c r="E56" s="13">
        <v>56.4</v>
      </c>
    </row>
    <row r="57" spans="1:5" s="64" customFormat="1" x14ac:dyDescent="0.25">
      <c r="A57" s="23" t="s">
        <v>223</v>
      </c>
      <c r="B57" s="35">
        <v>57010186553</v>
      </c>
      <c r="C57" s="24" t="s">
        <v>11</v>
      </c>
      <c r="D57" s="25" t="s">
        <v>43</v>
      </c>
      <c r="E57" s="13">
        <v>128.69</v>
      </c>
    </row>
    <row r="58" spans="1:5" s="64" customFormat="1" x14ac:dyDescent="0.25">
      <c r="A58" s="23" t="s">
        <v>180</v>
      </c>
      <c r="B58" s="35" t="s">
        <v>181</v>
      </c>
      <c r="C58" s="24" t="s">
        <v>11</v>
      </c>
      <c r="D58" s="25" t="s">
        <v>43</v>
      </c>
      <c r="E58" s="13">
        <v>206.46</v>
      </c>
    </row>
    <row r="59" spans="1:5" x14ac:dyDescent="0.25">
      <c r="A59" s="23" t="s">
        <v>94</v>
      </c>
      <c r="B59" s="35">
        <v>38967655335</v>
      </c>
      <c r="C59" s="24" t="s">
        <v>11</v>
      </c>
      <c r="D59" s="25" t="s">
        <v>43</v>
      </c>
      <c r="E59" s="13">
        <v>33</v>
      </c>
    </row>
    <row r="60" spans="1:5" ht="30" x14ac:dyDescent="0.25">
      <c r="A60" s="23" t="s">
        <v>213</v>
      </c>
      <c r="B60" s="35" t="s">
        <v>214</v>
      </c>
      <c r="C60" s="24" t="s">
        <v>215</v>
      </c>
      <c r="D60" s="25" t="s">
        <v>27</v>
      </c>
      <c r="E60" s="13">
        <v>120.3</v>
      </c>
    </row>
    <row r="61" spans="1:5" ht="30" x14ac:dyDescent="0.25">
      <c r="A61" s="23" t="s">
        <v>208</v>
      </c>
      <c r="B61" s="35" t="s">
        <v>183</v>
      </c>
      <c r="C61" s="24" t="s">
        <v>93</v>
      </c>
      <c r="D61" s="25" t="s">
        <v>27</v>
      </c>
      <c r="E61" s="13">
        <v>16.53</v>
      </c>
    </row>
    <row r="62" spans="1:5" s="64" customFormat="1" ht="30" x14ac:dyDescent="0.25">
      <c r="A62" s="23" t="s">
        <v>140</v>
      </c>
      <c r="B62" s="35" t="s">
        <v>217</v>
      </c>
      <c r="C62" s="24" t="s">
        <v>11</v>
      </c>
      <c r="D62" s="25" t="s">
        <v>24</v>
      </c>
      <c r="E62" s="13">
        <v>45</v>
      </c>
    </row>
    <row r="63" spans="1:5" s="64" customFormat="1" ht="30" x14ac:dyDescent="0.25">
      <c r="A63" s="23" t="s">
        <v>218</v>
      </c>
      <c r="B63" s="35"/>
      <c r="C63" s="24"/>
      <c r="D63" s="25" t="s">
        <v>24</v>
      </c>
      <c r="E63" s="13">
        <v>150</v>
      </c>
    </row>
    <row r="64" spans="1:5" s="64" customFormat="1" x14ac:dyDescent="0.25">
      <c r="A64" s="23" t="s">
        <v>219</v>
      </c>
      <c r="B64" s="35">
        <v>99368838091</v>
      </c>
      <c r="C64" s="24" t="s">
        <v>154</v>
      </c>
      <c r="D64" s="25" t="s">
        <v>52</v>
      </c>
      <c r="E64" s="13">
        <v>233.38</v>
      </c>
    </row>
    <row r="65" spans="1:5" s="64" customFormat="1" ht="30" x14ac:dyDescent="0.25">
      <c r="A65" s="23" t="s">
        <v>220</v>
      </c>
      <c r="B65" s="35">
        <v>14861822643</v>
      </c>
      <c r="C65" s="24" t="s">
        <v>109</v>
      </c>
      <c r="D65" s="25" t="s">
        <v>110</v>
      </c>
      <c r="E65" s="13">
        <v>155</v>
      </c>
    </row>
    <row r="66" spans="1:5" s="64" customFormat="1" ht="30" x14ac:dyDescent="0.25">
      <c r="A66" s="23" t="s">
        <v>221</v>
      </c>
      <c r="B66" s="35">
        <v>75508100288</v>
      </c>
      <c r="C66" s="24" t="s">
        <v>11</v>
      </c>
      <c r="D66" s="25" t="s">
        <v>24</v>
      </c>
      <c r="E66" s="13">
        <v>160</v>
      </c>
    </row>
    <row r="67" spans="1:5" x14ac:dyDescent="0.25">
      <c r="A67" s="23" t="s">
        <v>78</v>
      </c>
      <c r="B67" s="35">
        <v>68419124305</v>
      </c>
      <c r="C67" s="24" t="s">
        <v>11</v>
      </c>
      <c r="D67" s="25" t="s">
        <v>38</v>
      </c>
      <c r="E67" s="13">
        <v>10.62</v>
      </c>
    </row>
    <row r="68" spans="1:5" x14ac:dyDescent="0.25">
      <c r="A68" s="16" t="s">
        <v>26</v>
      </c>
      <c r="B68" s="16"/>
      <c r="C68" s="17"/>
      <c r="D68" s="17"/>
      <c r="E68" s="18">
        <f>SUM(E8:E67)</f>
        <v>137748.64999999997</v>
      </c>
    </row>
    <row r="69" spans="1:5" x14ac:dyDescent="0.25">
      <c r="A69" s="64"/>
      <c r="B69" s="64"/>
      <c r="C69" s="64"/>
      <c r="D69" s="64"/>
      <c r="E69" s="64"/>
    </row>
    <row r="70" spans="1:5" x14ac:dyDescent="0.25">
      <c r="A70" s="41" t="s">
        <v>224</v>
      </c>
      <c r="B70" s="64"/>
      <c r="C70" s="64"/>
      <c r="D70" s="64"/>
      <c r="E70" s="64"/>
    </row>
  </sheetData>
  <mergeCells count="6">
    <mergeCell ref="A5:E5"/>
    <mergeCell ref="A1:E1"/>
    <mergeCell ref="A2:B2"/>
    <mergeCell ref="D2:E2"/>
    <mergeCell ref="A3:B3"/>
    <mergeCell ref="D3:E3"/>
  </mergeCells>
  <conditionalFormatting sqref="D34 A17:A19 A22:A25 C22:D25 A50:D68 A49 C49:D49 A14:C14 A38:D48">
    <cfRule type="expression" dxfId="30" priority="4">
      <formula>MOD(ROW(),2)=0</formula>
    </cfRule>
  </conditionalFormatting>
  <conditionalFormatting sqref="E17:E26 E13:E15 E31:E68">
    <cfRule type="expression" dxfId="29" priority="1">
      <formula>MOD(ROW(),2)=0</formula>
    </cfRule>
  </conditionalFormatting>
  <conditionalFormatting sqref="E17:E26 E13:E15 E31:E68">
    <cfRule type="expression" dxfId="28" priority="5">
      <formula>MOD(ROW(),2)=1</formula>
    </cfRule>
  </conditionalFormatting>
  <conditionalFormatting sqref="B49">
    <cfRule type="expression" dxfId="27" priority="3">
      <formula>MOD(ROW(),2)=0</formula>
    </cfRule>
  </conditionalFormatting>
  <conditionalFormatting sqref="C18">
    <cfRule type="expression" dxfId="26" priority="6">
      <formula>MOD(ROW(),2)=0</formula>
    </cfRule>
  </conditionalFormatting>
  <conditionalFormatting sqref="C17:D17 C19:D19 D18">
    <cfRule type="expression" dxfId="25" priority="9">
      <formula>MOD(ROW(),2)=0</formula>
    </cfRule>
  </conditionalFormatting>
  <conditionalFormatting sqref="D14 A28:C30">
    <cfRule type="expression" dxfId="24" priority="11">
      <formula>MOD(ROW(),2)=0</formula>
    </cfRule>
  </conditionalFormatting>
  <conditionalFormatting sqref="A16:D16 A35:D37 A34:C34 A31:D33">
    <cfRule type="expression" dxfId="23" priority="12">
      <formula>MOD(ROW(),2)=0</formula>
    </cfRule>
  </conditionalFormatting>
  <conditionalFormatting sqref="A8:D8 D20 A26:D27 A10:D10">
    <cfRule type="expression" dxfId="22" priority="24">
      <formula>MOD(ROW(),2)=0</formula>
    </cfRule>
  </conditionalFormatting>
  <conditionalFormatting sqref="E8 E30 E10">
    <cfRule type="expression" dxfId="21" priority="25">
      <formula>MOD(ROW(),2)=0</formula>
    </cfRule>
  </conditionalFormatting>
  <conditionalFormatting sqref="E8 E30 E10">
    <cfRule type="expression" dxfId="20" priority="26">
      <formula>MOD(ROW(),2)=1</formula>
    </cfRule>
  </conditionalFormatting>
  <conditionalFormatting sqref="E27:E29">
    <cfRule type="expression" dxfId="19" priority="27">
      <formula>MOD(ROW(),2)=0</formula>
    </cfRule>
  </conditionalFormatting>
  <conditionalFormatting sqref="E27:E29">
    <cfRule type="expression" dxfId="18" priority="28">
      <formula>MOD(ROW(),2)=1</formula>
    </cfRule>
  </conditionalFormatting>
  <conditionalFormatting sqref="A20 C20">
    <cfRule type="expression" dxfId="17" priority="29">
      <formula>MOD(ROW(),2)=0</formula>
    </cfRule>
  </conditionalFormatting>
  <conditionalFormatting sqref="A13:D13 A15:D15">
    <cfRule type="expression" dxfId="16" priority="30">
      <formula>MOD(ROW(),2)=0</formula>
    </cfRule>
  </conditionalFormatting>
  <conditionalFormatting sqref="D28">
    <cfRule type="expression" dxfId="15" priority="31">
      <formula>MOD(ROW(),2)=0</formula>
    </cfRule>
  </conditionalFormatting>
  <conditionalFormatting sqref="A21 C21">
    <cfRule type="expression" dxfId="14" priority="23">
      <formula>MOD(ROW(),2)=0</formula>
    </cfRule>
  </conditionalFormatting>
  <conditionalFormatting sqref="D21">
    <cfRule type="expression" dxfId="13" priority="22">
      <formula>MOD(ROW(),2)=0</formula>
    </cfRule>
  </conditionalFormatting>
  <conditionalFormatting sqref="D29">
    <cfRule type="expression" dxfId="12" priority="21">
      <formula>MOD(ROW(),2)=0</formula>
    </cfRule>
  </conditionalFormatting>
  <conditionalFormatting sqref="D30">
    <cfRule type="expression" dxfId="11" priority="20">
      <formula>MOD(ROW(),2)=0</formula>
    </cfRule>
  </conditionalFormatting>
  <conditionalFormatting sqref="A9:D9">
    <cfRule type="expression" dxfId="10" priority="17">
      <formula>MOD(ROW(),2)=0</formula>
    </cfRule>
  </conditionalFormatting>
  <conditionalFormatting sqref="A12:D12">
    <cfRule type="expression" dxfId="9" priority="14">
      <formula>MOD(ROW(),2)=0</formula>
    </cfRule>
  </conditionalFormatting>
  <conditionalFormatting sqref="E9">
    <cfRule type="expression" dxfId="8" priority="18">
      <formula>MOD(ROW(),2)=0</formula>
    </cfRule>
  </conditionalFormatting>
  <conditionalFormatting sqref="E9">
    <cfRule type="expression" dxfId="7" priority="19">
      <formula>MOD(ROW(),2)=1</formula>
    </cfRule>
  </conditionalFormatting>
  <conditionalFormatting sqref="E12">
    <cfRule type="expression" dxfId="6" priority="15">
      <formula>MOD(ROW(),2)=0</formula>
    </cfRule>
  </conditionalFormatting>
  <conditionalFormatting sqref="E12">
    <cfRule type="expression" dxfId="5" priority="16">
      <formula>MOD(ROW(),2)=1</formula>
    </cfRule>
  </conditionalFormatting>
  <conditionalFormatting sqref="A11 C11:D11">
    <cfRule type="expression" dxfId="4" priority="32">
      <formula>MOD(ROW(),2)=0</formula>
    </cfRule>
  </conditionalFormatting>
  <conditionalFormatting sqref="E11">
    <cfRule type="expression" dxfId="3" priority="33">
      <formula>MOD(ROW(),2)=0</formula>
    </cfRule>
  </conditionalFormatting>
  <conditionalFormatting sqref="E11">
    <cfRule type="expression" dxfId="2" priority="13">
      <formula>MOD(ROW(),2)=1</formula>
    </cfRule>
  </conditionalFormatting>
  <conditionalFormatting sqref="E16">
    <cfRule type="expression" dxfId="1" priority="34">
      <formula>MOD(ROW(),2)=0</formula>
    </cfRule>
  </conditionalFormatting>
  <conditionalFormatting sqref="E16">
    <cfRule type="expression" dxfId="0" priority="3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D6CB0-B807-4A82-A3EE-EAD5F4C188A7}">
  <sheetPr>
    <tabColor theme="4" tint="-0.249977111117893"/>
  </sheetPr>
  <dimension ref="A1:E57"/>
  <sheetViews>
    <sheetView topLeftCell="A49" workbookViewId="0">
      <selection activeCell="I16" sqref="I16"/>
    </sheetView>
  </sheetViews>
  <sheetFormatPr defaultRowHeight="15" x14ac:dyDescent="0.25"/>
  <cols>
    <col min="1" max="1" width="39.140625" customWidth="1"/>
    <col min="2" max="2" width="20.42578125" customWidth="1"/>
    <col min="3" max="3" width="26" customWidth="1"/>
    <col min="4" max="4" width="39.28515625" customWidth="1"/>
    <col min="5" max="5" width="16.140625" customWidth="1"/>
  </cols>
  <sheetData>
    <row r="1" spans="1:5" ht="47.25" customHeight="1" thickBot="1" x14ac:dyDescent="0.3">
      <c r="A1" s="67" t="s">
        <v>28</v>
      </c>
      <c r="B1" s="68"/>
      <c r="C1" s="68"/>
      <c r="D1" s="68"/>
      <c r="E1" s="69"/>
    </row>
    <row r="2" spans="1:5" ht="45.75" customHeight="1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ht="45" customHeight="1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15.75" x14ac:dyDescent="0.25">
      <c r="A4" s="27" t="s">
        <v>70</v>
      </c>
      <c r="B4" s="6"/>
      <c r="C4" s="6"/>
      <c r="D4" s="6"/>
      <c r="E4" s="6"/>
    </row>
    <row r="5" spans="1:5" ht="15.75" x14ac:dyDescent="0.25">
      <c r="A5" s="65" t="s">
        <v>1</v>
      </c>
      <c r="B5" s="66"/>
      <c r="C5" s="66"/>
      <c r="D5" s="66"/>
      <c r="E5" s="66"/>
    </row>
    <row r="6" spans="1:5" x14ac:dyDescent="0.25">
      <c r="A6" s="28"/>
      <c r="B6" s="28"/>
      <c r="C6" s="28"/>
      <c r="D6" s="28"/>
      <c r="E6" s="28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ht="48.75" customHeight="1" x14ac:dyDescent="0.25">
      <c r="A8" s="10" t="s">
        <v>7</v>
      </c>
      <c r="B8" s="10"/>
      <c r="C8" s="11"/>
      <c r="D8" s="12" t="s">
        <v>36</v>
      </c>
      <c r="E8" s="13">
        <f>66208.84+1032.88</f>
        <v>67241.72</v>
      </c>
    </row>
    <row r="9" spans="1:5" ht="48.75" customHeight="1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13">
        <v>1497.4</v>
      </c>
    </row>
    <row r="10" spans="1:5" ht="48.75" customHeight="1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713.84+126.48+68.47</f>
        <v>908.79000000000008</v>
      </c>
    </row>
    <row r="11" spans="1:5" ht="48.75" customHeight="1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53.09+441.44</f>
        <v>494.53</v>
      </c>
    </row>
    <row r="12" spans="1:5" ht="48.75" customHeight="1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11321.44+170.43</f>
        <v>11491.87</v>
      </c>
    </row>
    <row r="13" spans="1:5" ht="48.75" customHeight="1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2290.23</v>
      </c>
    </row>
    <row r="14" spans="1:5" s="31" customFormat="1" ht="48.75" customHeight="1" x14ac:dyDescent="0.25">
      <c r="A14" s="23" t="s">
        <v>7</v>
      </c>
      <c r="B14" s="23"/>
      <c r="C14" s="24"/>
      <c r="D14" s="25" t="s">
        <v>71</v>
      </c>
      <c r="E14" s="13">
        <v>269.7</v>
      </c>
    </row>
    <row r="15" spans="1:5" ht="48.75" customHeight="1" x14ac:dyDescent="0.25">
      <c r="A15" s="10" t="s">
        <v>7</v>
      </c>
      <c r="B15" s="10"/>
      <c r="C15" s="11"/>
      <c r="D15" s="12" t="s">
        <v>66</v>
      </c>
      <c r="E15" s="13">
        <f>55.5+134</f>
        <v>189.5</v>
      </c>
    </row>
    <row r="16" spans="1:5" ht="48.75" customHeight="1" x14ac:dyDescent="0.25">
      <c r="A16" s="10" t="s">
        <v>10</v>
      </c>
      <c r="B16" s="30">
        <v>18683136487</v>
      </c>
      <c r="C16" s="11" t="s">
        <v>11</v>
      </c>
      <c r="D16" s="12" t="s">
        <v>38</v>
      </c>
      <c r="E16" s="13">
        <v>336</v>
      </c>
    </row>
    <row r="17" spans="1:5" ht="48.75" customHeight="1" x14ac:dyDescent="0.25">
      <c r="A17" s="10" t="s">
        <v>39</v>
      </c>
      <c r="B17" s="29">
        <v>44138062462</v>
      </c>
      <c r="C17" s="11" t="s">
        <v>40</v>
      </c>
      <c r="D17" s="12" t="s">
        <v>41</v>
      </c>
      <c r="E17" s="13">
        <f>212.26+158.29+123.39+132.55+85.43+154.32+226.03+178.81+77.54+38.75+109.24+44.3+194.77</f>
        <v>1735.6799999999998</v>
      </c>
    </row>
    <row r="18" spans="1:5" ht="48.75" customHeight="1" x14ac:dyDescent="0.25">
      <c r="A18" s="10" t="s">
        <v>76</v>
      </c>
      <c r="B18" s="10">
        <v>78661516143</v>
      </c>
      <c r="C18" s="11" t="s">
        <v>11</v>
      </c>
      <c r="D18" s="12" t="s">
        <v>77</v>
      </c>
      <c r="E18" s="13">
        <v>55</v>
      </c>
    </row>
    <row r="19" spans="1:5" ht="30" x14ac:dyDescent="0.25">
      <c r="A19" s="23" t="s">
        <v>78</v>
      </c>
      <c r="B19" s="23">
        <v>68419124305</v>
      </c>
      <c r="C19" s="24" t="s">
        <v>11</v>
      </c>
      <c r="D19" s="25" t="s">
        <v>79</v>
      </c>
      <c r="E19" s="13">
        <f>10.62+10.62</f>
        <v>21.24</v>
      </c>
    </row>
    <row r="20" spans="1:5" x14ac:dyDescent="0.25">
      <c r="A20" s="10" t="s">
        <v>80</v>
      </c>
      <c r="B20" s="29">
        <v>80947211460</v>
      </c>
      <c r="C20" s="11" t="s">
        <v>40</v>
      </c>
      <c r="D20" s="11" t="s">
        <v>21</v>
      </c>
      <c r="E20" s="13">
        <v>89.59</v>
      </c>
    </row>
    <row r="21" spans="1:5" ht="30" x14ac:dyDescent="0.25">
      <c r="A21" s="10" t="s">
        <v>81</v>
      </c>
      <c r="B21" s="10">
        <v>24796394086</v>
      </c>
      <c r="C21" s="11" t="s">
        <v>11</v>
      </c>
      <c r="D21" s="12" t="s">
        <v>24</v>
      </c>
      <c r="E21" s="13">
        <v>55</v>
      </c>
    </row>
    <row r="22" spans="1:5" ht="30" x14ac:dyDescent="0.25">
      <c r="A22" s="10" t="s">
        <v>17</v>
      </c>
      <c r="B22" s="29">
        <v>81793146560</v>
      </c>
      <c r="C22" s="11" t="s">
        <v>11</v>
      </c>
      <c r="D22" s="12" t="s">
        <v>16</v>
      </c>
      <c r="E22" s="13">
        <f>49.25+23.49</f>
        <v>72.739999999999995</v>
      </c>
    </row>
    <row r="23" spans="1:5" x14ac:dyDescent="0.25">
      <c r="A23" s="10" t="s">
        <v>17</v>
      </c>
      <c r="B23" s="29">
        <v>81793146560</v>
      </c>
      <c r="C23" s="11" t="s">
        <v>11</v>
      </c>
      <c r="D23" s="12" t="s">
        <v>50</v>
      </c>
      <c r="E23" s="13">
        <f>0.13+0.06</f>
        <v>0.19</v>
      </c>
    </row>
    <row r="24" spans="1:5" ht="30" customHeight="1" x14ac:dyDescent="0.25">
      <c r="A24" s="10" t="s">
        <v>82</v>
      </c>
      <c r="B24" s="10">
        <v>79608058419</v>
      </c>
      <c r="C24" s="11" t="s">
        <v>83</v>
      </c>
      <c r="D24" s="12" t="s">
        <v>24</v>
      </c>
      <c r="E24" s="13">
        <v>202.48</v>
      </c>
    </row>
    <row r="25" spans="1:5" ht="27" customHeight="1" x14ac:dyDescent="0.25">
      <c r="A25" s="23" t="s">
        <v>47</v>
      </c>
      <c r="B25" s="23">
        <v>43965974818</v>
      </c>
      <c r="C25" s="24" t="s">
        <v>11</v>
      </c>
      <c r="D25" s="11" t="s">
        <v>19</v>
      </c>
      <c r="E25" s="13">
        <f>6.26+5.7+34.15+2.85</f>
        <v>48.96</v>
      </c>
    </row>
    <row r="26" spans="1:5" ht="27" customHeight="1" x14ac:dyDescent="0.25">
      <c r="A26" s="10" t="s">
        <v>18</v>
      </c>
      <c r="B26" s="29">
        <v>63073332379</v>
      </c>
      <c r="C26" s="11" t="s">
        <v>11</v>
      </c>
      <c r="D26" s="11" t="s">
        <v>19</v>
      </c>
      <c r="E26" s="13">
        <v>825.01</v>
      </c>
    </row>
    <row r="27" spans="1:5" ht="27" customHeight="1" x14ac:dyDescent="0.25">
      <c r="A27" s="10" t="s">
        <v>20</v>
      </c>
      <c r="B27" s="10">
        <v>85821130368</v>
      </c>
      <c r="C27" s="11" t="s">
        <v>11</v>
      </c>
      <c r="D27" s="11" t="s">
        <v>21</v>
      </c>
      <c r="E27" s="13">
        <f>1.66+16.18</f>
        <v>17.84</v>
      </c>
    </row>
    <row r="28" spans="1:5" ht="27" customHeight="1" x14ac:dyDescent="0.25">
      <c r="A28" s="10" t="s">
        <v>22</v>
      </c>
      <c r="B28" s="29">
        <v>41317489366</v>
      </c>
      <c r="C28" s="11" t="s">
        <v>23</v>
      </c>
      <c r="D28" s="11" t="s">
        <v>19</v>
      </c>
      <c r="E28" s="13">
        <f>6324.75+16.09</f>
        <v>6340.84</v>
      </c>
    </row>
    <row r="29" spans="1:5" x14ac:dyDescent="0.25">
      <c r="A29" s="10" t="s">
        <v>48</v>
      </c>
      <c r="B29" s="10">
        <v>97575612726</v>
      </c>
      <c r="C29" s="11" t="s">
        <v>45</v>
      </c>
      <c r="D29" s="12" t="s">
        <v>13</v>
      </c>
      <c r="E29" s="13">
        <f>86.24+11.24+11.24+11.24+11.24</f>
        <v>131.19999999999999</v>
      </c>
    </row>
    <row r="30" spans="1:5" x14ac:dyDescent="0.25">
      <c r="A30" s="10" t="s">
        <v>49</v>
      </c>
      <c r="B30" s="10">
        <v>71442681806</v>
      </c>
      <c r="C30" s="11" t="s">
        <v>45</v>
      </c>
      <c r="D30" s="12" t="s">
        <v>13</v>
      </c>
      <c r="E30" s="13">
        <f>4.04+3.6+37.33+102.36</f>
        <v>147.32999999999998</v>
      </c>
    </row>
    <row r="31" spans="1:5" x14ac:dyDescent="0.25">
      <c r="A31" s="10" t="s">
        <v>49</v>
      </c>
      <c r="B31" s="10">
        <v>71442681806</v>
      </c>
      <c r="C31" s="11" t="s">
        <v>45</v>
      </c>
      <c r="D31" s="12" t="s">
        <v>50</v>
      </c>
      <c r="E31" s="13">
        <f>0.01+0.01+0.12+0.24</f>
        <v>0.38</v>
      </c>
    </row>
    <row r="32" spans="1:5" ht="30" x14ac:dyDescent="0.25">
      <c r="A32" s="10" t="s">
        <v>14</v>
      </c>
      <c r="B32" s="10">
        <v>87311810356</v>
      </c>
      <c r="C32" s="11" t="s">
        <v>15</v>
      </c>
      <c r="D32" s="12" t="s">
        <v>16</v>
      </c>
      <c r="E32" s="13">
        <v>37.700000000000003</v>
      </c>
    </row>
    <row r="33" spans="1:5" x14ac:dyDescent="0.25">
      <c r="A33" s="10" t="s">
        <v>51</v>
      </c>
      <c r="B33" s="10">
        <v>45594774168</v>
      </c>
      <c r="C33" s="11" t="s">
        <v>45</v>
      </c>
      <c r="D33" s="12" t="s">
        <v>52</v>
      </c>
      <c r="E33" s="13"/>
    </row>
    <row r="34" spans="1:5" x14ac:dyDescent="0.25">
      <c r="A34" s="10" t="s">
        <v>73</v>
      </c>
      <c r="B34" s="10">
        <v>27332507825</v>
      </c>
      <c r="C34" s="11" t="s">
        <v>74</v>
      </c>
      <c r="D34" s="12" t="s">
        <v>75</v>
      </c>
      <c r="E34" s="13">
        <v>62.5</v>
      </c>
    </row>
    <row r="35" spans="1:5" ht="30" x14ac:dyDescent="0.25">
      <c r="A35" s="10" t="s">
        <v>54</v>
      </c>
      <c r="B35" s="10">
        <v>47414897452</v>
      </c>
      <c r="C35" s="11" t="s">
        <v>55</v>
      </c>
      <c r="D35" s="12" t="s">
        <v>24</v>
      </c>
      <c r="E35" s="13">
        <v>35.9</v>
      </c>
    </row>
    <row r="36" spans="1:5" x14ac:dyDescent="0.25">
      <c r="A36" s="10" t="s">
        <v>54</v>
      </c>
      <c r="B36" s="10">
        <v>47414897452</v>
      </c>
      <c r="C36" s="11" t="s">
        <v>55</v>
      </c>
      <c r="D36" s="12" t="s">
        <v>41</v>
      </c>
      <c r="E36" s="13">
        <v>102.68</v>
      </c>
    </row>
    <row r="37" spans="1:5" s="31" customFormat="1" x14ac:dyDescent="0.25">
      <c r="A37" s="35" t="s">
        <v>96</v>
      </c>
      <c r="B37" s="23"/>
      <c r="C37" s="24"/>
      <c r="D37" s="38" t="s">
        <v>52</v>
      </c>
      <c r="E37" s="13">
        <v>160</v>
      </c>
    </row>
    <row r="38" spans="1:5" ht="30" x14ac:dyDescent="0.25">
      <c r="A38" s="36" t="s">
        <v>87</v>
      </c>
      <c r="B38" s="10"/>
      <c r="C38" s="37"/>
      <c r="D38" s="12" t="s">
        <v>24</v>
      </c>
      <c r="E38" s="13">
        <f>382.9+387.45+200.56</f>
        <v>970.90999999999985</v>
      </c>
    </row>
    <row r="39" spans="1:5" ht="30" x14ac:dyDescent="0.25">
      <c r="A39" s="35" t="s">
        <v>90</v>
      </c>
      <c r="B39" s="23">
        <v>43616114716</v>
      </c>
      <c r="C39" s="33" t="s">
        <v>45</v>
      </c>
      <c r="D39" s="12" t="s">
        <v>24</v>
      </c>
      <c r="E39" s="13">
        <f>89.26+188.46</f>
        <v>277.72000000000003</v>
      </c>
    </row>
    <row r="40" spans="1:5" s="31" customFormat="1" ht="30" x14ac:dyDescent="0.25">
      <c r="A40" s="35" t="s">
        <v>94</v>
      </c>
      <c r="B40" s="23">
        <v>38967655335</v>
      </c>
      <c r="C40" s="33" t="s">
        <v>11</v>
      </c>
      <c r="D40" s="12" t="s">
        <v>24</v>
      </c>
      <c r="E40" s="13">
        <v>27</v>
      </c>
    </row>
    <row r="41" spans="1:5" s="31" customFormat="1" x14ac:dyDescent="0.25">
      <c r="A41" s="35" t="s">
        <v>98</v>
      </c>
      <c r="B41" s="23"/>
      <c r="C41" s="33"/>
      <c r="D41" s="38" t="s">
        <v>58</v>
      </c>
      <c r="E41" s="13">
        <v>47</v>
      </c>
    </row>
    <row r="42" spans="1:5" s="31" customFormat="1" ht="30" x14ac:dyDescent="0.25">
      <c r="A42" s="35" t="s">
        <v>95</v>
      </c>
      <c r="B42" s="23"/>
      <c r="C42" s="33"/>
      <c r="D42" s="38" t="s">
        <v>27</v>
      </c>
      <c r="E42" s="13">
        <v>35</v>
      </c>
    </row>
    <row r="43" spans="1:5" s="31" customFormat="1" x14ac:dyDescent="0.25">
      <c r="A43" s="35" t="s">
        <v>100</v>
      </c>
      <c r="B43" s="23">
        <v>21523879111</v>
      </c>
      <c r="C43" s="33" t="s">
        <v>101</v>
      </c>
      <c r="D43" s="38" t="s">
        <v>58</v>
      </c>
      <c r="E43" s="13">
        <v>49.9</v>
      </c>
    </row>
    <row r="44" spans="1:5" s="31" customFormat="1" x14ac:dyDescent="0.25">
      <c r="A44" s="35" t="s">
        <v>99</v>
      </c>
      <c r="B44" s="23">
        <v>96169540207</v>
      </c>
      <c r="C44" s="33" t="s">
        <v>11</v>
      </c>
      <c r="D44" s="38" t="s">
        <v>58</v>
      </c>
      <c r="E44" s="13">
        <v>166.25</v>
      </c>
    </row>
    <row r="45" spans="1:5" s="31" customFormat="1" ht="30" x14ac:dyDescent="0.25">
      <c r="A45" s="35" t="s">
        <v>92</v>
      </c>
      <c r="B45" s="23">
        <v>16634935563</v>
      </c>
      <c r="C45" s="33" t="s">
        <v>93</v>
      </c>
      <c r="D45" s="12" t="s">
        <v>24</v>
      </c>
      <c r="E45" s="13">
        <v>14</v>
      </c>
    </row>
    <row r="46" spans="1:5" x14ac:dyDescent="0.25">
      <c r="A46" s="35" t="s">
        <v>91</v>
      </c>
      <c r="B46" s="23">
        <v>96591335948</v>
      </c>
      <c r="C46" s="33" t="s">
        <v>45</v>
      </c>
      <c r="D46" s="12" t="s">
        <v>13</v>
      </c>
      <c r="E46" s="13">
        <v>28.5</v>
      </c>
    </row>
    <row r="47" spans="1:5" ht="30" x14ac:dyDescent="0.25">
      <c r="A47" s="36" t="s">
        <v>88</v>
      </c>
      <c r="B47" s="10">
        <v>71559085353</v>
      </c>
      <c r="C47" s="37" t="s">
        <v>89</v>
      </c>
      <c r="D47" s="12" t="s">
        <v>24</v>
      </c>
      <c r="E47" s="13">
        <f>50.66+32.05+13.95</f>
        <v>96.66</v>
      </c>
    </row>
    <row r="48" spans="1:5" x14ac:dyDescent="0.25">
      <c r="A48" s="10" t="s">
        <v>60</v>
      </c>
      <c r="B48" s="10">
        <v>43238257395</v>
      </c>
      <c r="C48" s="11" t="s">
        <v>45</v>
      </c>
      <c r="D48" s="12" t="s">
        <v>41</v>
      </c>
      <c r="E48" s="13">
        <f>299.79+656.54</f>
        <v>956.32999999999993</v>
      </c>
    </row>
    <row r="49" spans="1:5" x14ac:dyDescent="0.25">
      <c r="A49" s="10" t="s">
        <v>61</v>
      </c>
      <c r="B49" s="10">
        <v>41976933718</v>
      </c>
      <c r="C49" s="11" t="s">
        <v>62</v>
      </c>
      <c r="D49" s="12" t="s">
        <v>41</v>
      </c>
      <c r="E49" s="13">
        <v>317.20999999999998</v>
      </c>
    </row>
    <row r="50" spans="1:5" x14ac:dyDescent="0.25">
      <c r="A50" s="15" t="s">
        <v>63</v>
      </c>
      <c r="B50" s="10">
        <v>18928523252</v>
      </c>
      <c r="C50" s="11" t="s">
        <v>64</v>
      </c>
      <c r="D50" s="12" t="s">
        <v>41</v>
      </c>
      <c r="E50" s="13">
        <f>77.69+78.24+217.93</f>
        <v>373.86</v>
      </c>
    </row>
    <row r="51" spans="1:5" ht="30.75" customHeight="1" x14ac:dyDescent="0.25">
      <c r="A51" s="10" t="s">
        <v>65</v>
      </c>
      <c r="B51" s="10">
        <v>63074697345</v>
      </c>
      <c r="C51" s="11" t="s">
        <v>45</v>
      </c>
      <c r="D51" s="12" t="s">
        <v>41</v>
      </c>
      <c r="E51" s="13">
        <v>342.14</v>
      </c>
    </row>
    <row r="52" spans="1:5" x14ac:dyDescent="0.25">
      <c r="A52" s="23" t="s">
        <v>72</v>
      </c>
      <c r="B52" s="35" t="s">
        <v>86</v>
      </c>
      <c r="C52" s="24" t="s">
        <v>11</v>
      </c>
      <c r="D52" s="12" t="s">
        <v>41</v>
      </c>
      <c r="E52" s="13">
        <f>70.63+185.63</f>
        <v>256.26</v>
      </c>
    </row>
    <row r="53" spans="1:5" s="31" customFormat="1" ht="30" x14ac:dyDescent="0.25">
      <c r="A53" s="39" t="s">
        <v>97</v>
      </c>
      <c r="B53" s="35">
        <v>97748123085</v>
      </c>
      <c r="C53" s="33" t="s">
        <v>11</v>
      </c>
      <c r="D53" s="12" t="s">
        <v>77</v>
      </c>
      <c r="E53" s="13">
        <v>53.09</v>
      </c>
    </row>
    <row r="54" spans="1:5" ht="30" x14ac:dyDescent="0.25">
      <c r="A54" s="32" t="s">
        <v>84</v>
      </c>
      <c r="B54" s="23">
        <v>75508100288</v>
      </c>
      <c r="C54" s="33" t="s">
        <v>11</v>
      </c>
      <c r="D54" s="34" t="s">
        <v>85</v>
      </c>
      <c r="E54" s="13">
        <v>80</v>
      </c>
    </row>
    <row r="55" spans="1:5" x14ac:dyDescent="0.25">
      <c r="A55" s="16" t="s">
        <v>26</v>
      </c>
      <c r="B55" s="16"/>
      <c r="C55" s="17"/>
      <c r="D55" s="17"/>
      <c r="E55" s="18">
        <f>SUM(E8:E54)</f>
        <v>98953.829999999958</v>
      </c>
    </row>
    <row r="57" spans="1:5" x14ac:dyDescent="0.25">
      <c r="A57" s="41" t="s">
        <v>103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24:A28 D22 A29:D30 A31:C34 A10:D10 A16:A21 C16:D21 C24:D28 A35:D55">
    <cfRule type="expression" dxfId="343" priority="17">
      <formula>MOD(ROW(),2)=0</formula>
    </cfRule>
  </conditionalFormatting>
  <conditionalFormatting sqref="E8 E34 E10 E16:E29 E38:E55">
    <cfRule type="expression" dxfId="342" priority="18">
      <formula>MOD(ROW(),2)=0</formula>
    </cfRule>
  </conditionalFormatting>
  <conditionalFormatting sqref="E8 E34 E10 E16:E29 E38:E55">
    <cfRule type="expression" dxfId="341" priority="19">
      <formula>MOD(ROW(),2)=1</formula>
    </cfRule>
  </conditionalFormatting>
  <conditionalFormatting sqref="E30:E33">
    <cfRule type="expression" dxfId="340" priority="20">
      <formula>MOD(ROW(),2)=0</formula>
    </cfRule>
  </conditionalFormatting>
  <conditionalFormatting sqref="E30:E33">
    <cfRule type="expression" dxfId="339" priority="21">
      <formula>MOD(ROW(),2)=1</formula>
    </cfRule>
  </conditionalFormatting>
  <conditionalFormatting sqref="E35:E37">
    <cfRule type="expression" dxfId="338" priority="22">
      <formula>MOD(ROW(),2)=0</formula>
    </cfRule>
  </conditionalFormatting>
  <conditionalFormatting sqref="E35:E37">
    <cfRule type="expression" dxfId="337" priority="23">
      <formula>MOD(ROW(),2)=1</formula>
    </cfRule>
  </conditionalFormatting>
  <conditionalFormatting sqref="A22 C22">
    <cfRule type="expression" dxfId="336" priority="24">
      <formula>MOD(ROW(),2)=0</formula>
    </cfRule>
  </conditionalFormatting>
  <conditionalFormatting sqref="A13:D14">
    <cfRule type="expression" dxfId="335" priority="25">
      <formula>MOD(ROW(),2)=0</formula>
    </cfRule>
  </conditionalFormatting>
  <conditionalFormatting sqref="E13:E14">
    <cfRule type="expression" dxfId="334" priority="26">
      <formula>MOD(ROW(),2)=0</formula>
    </cfRule>
  </conditionalFormatting>
  <conditionalFormatting sqref="E13:E14">
    <cfRule type="expression" dxfId="333" priority="27">
      <formula>MOD(ROW(),2)=1</formula>
    </cfRule>
  </conditionalFormatting>
  <conditionalFormatting sqref="D31 D33">
    <cfRule type="expression" dxfId="332" priority="28">
      <formula>MOD(ROW(),2)=0</formula>
    </cfRule>
  </conditionalFormatting>
  <conditionalFormatting sqref="A23 C23">
    <cfRule type="expression" dxfId="331" priority="16">
      <formula>MOD(ROW(),2)=0</formula>
    </cfRule>
  </conditionalFormatting>
  <conditionalFormatting sqref="D23">
    <cfRule type="expression" dxfId="330" priority="15">
      <formula>MOD(ROW(),2)=0</formula>
    </cfRule>
  </conditionalFormatting>
  <conditionalFormatting sqref="D32">
    <cfRule type="expression" dxfId="329" priority="14">
      <formula>MOD(ROW(),2)=0</formula>
    </cfRule>
  </conditionalFormatting>
  <conditionalFormatting sqref="D34">
    <cfRule type="expression" dxfId="328" priority="13">
      <formula>MOD(ROW(),2)=0</formula>
    </cfRule>
  </conditionalFormatting>
  <conditionalFormatting sqref="A9:D9">
    <cfRule type="expression" dxfId="327" priority="10">
      <formula>MOD(ROW(),2)=0</formula>
    </cfRule>
  </conditionalFormatting>
  <conditionalFormatting sqref="A12:D12">
    <cfRule type="expression" dxfId="326" priority="7">
      <formula>MOD(ROW(),2)=0</formula>
    </cfRule>
  </conditionalFormatting>
  <conditionalFormatting sqref="E9">
    <cfRule type="expression" dxfId="325" priority="11">
      <formula>MOD(ROW(),2)=0</formula>
    </cfRule>
  </conditionalFormatting>
  <conditionalFormatting sqref="E9">
    <cfRule type="expression" dxfId="324" priority="12">
      <formula>MOD(ROW(),2)=1</formula>
    </cfRule>
  </conditionalFormatting>
  <conditionalFormatting sqref="E12">
    <cfRule type="expression" dxfId="323" priority="8">
      <formula>MOD(ROW(),2)=0</formula>
    </cfRule>
  </conditionalFormatting>
  <conditionalFormatting sqref="E12">
    <cfRule type="expression" dxfId="322" priority="9">
      <formula>MOD(ROW(),2)=1</formula>
    </cfRule>
  </conditionalFormatting>
  <conditionalFormatting sqref="A11 C11:D11">
    <cfRule type="expression" dxfId="321" priority="4">
      <formula>MOD(ROW(),2)=0</formula>
    </cfRule>
  </conditionalFormatting>
  <conditionalFormatting sqref="E11">
    <cfRule type="expression" dxfId="320" priority="5">
      <formula>MOD(ROW(),2)=0</formula>
    </cfRule>
  </conditionalFormatting>
  <conditionalFormatting sqref="E11">
    <cfRule type="expression" dxfId="319" priority="6">
      <formula>MOD(ROW(),2)=1</formula>
    </cfRule>
  </conditionalFormatting>
  <conditionalFormatting sqref="A15:D15">
    <cfRule type="expression" dxfId="318" priority="1">
      <formula>MOD(ROW(),2)=0</formula>
    </cfRule>
  </conditionalFormatting>
  <conditionalFormatting sqref="E15">
    <cfRule type="expression" dxfId="317" priority="2">
      <formula>MOD(ROW(),2)=0</formula>
    </cfRule>
  </conditionalFormatting>
  <conditionalFormatting sqref="E15">
    <cfRule type="expression" dxfId="316" priority="3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2257C-6E71-47BE-9435-6F246FDF3F6C}">
  <sheetPr>
    <tabColor theme="5"/>
  </sheetPr>
  <dimension ref="A1:F48"/>
  <sheetViews>
    <sheetView workbookViewId="0">
      <selection sqref="A1:E48"/>
    </sheetView>
  </sheetViews>
  <sheetFormatPr defaultRowHeight="15" x14ac:dyDescent="0.25"/>
  <cols>
    <col min="1" max="1" width="41" customWidth="1"/>
    <col min="2" max="2" width="21" customWidth="1"/>
    <col min="3" max="3" width="26.28515625" customWidth="1"/>
    <col min="4" max="4" width="32.42578125" customWidth="1"/>
    <col min="5" max="5" width="21.28515625" customWidth="1"/>
  </cols>
  <sheetData>
    <row r="1" spans="1:6" ht="78" customHeight="1" thickBot="1" x14ac:dyDescent="0.3">
      <c r="A1" s="67" t="s">
        <v>28</v>
      </c>
      <c r="B1" s="68"/>
      <c r="C1" s="68"/>
      <c r="D1" s="68"/>
      <c r="E1" s="69"/>
    </row>
    <row r="2" spans="1:6" ht="45.75" customHeight="1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6" ht="45" customHeight="1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6" ht="26.25" customHeight="1" x14ac:dyDescent="0.25">
      <c r="A4" s="42" t="s">
        <v>104</v>
      </c>
      <c r="B4" s="6"/>
      <c r="C4" s="6"/>
      <c r="D4" s="6"/>
      <c r="E4" s="6"/>
    </row>
    <row r="5" spans="1:6" ht="21" customHeight="1" x14ac:dyDescent="0.25">
      <c r="A5" s="65" t="s">
        <v>1</v>
      </c>
      <c r="B5" s="66"/>
      <c r="C5" s="66"/>
      <c r="D5" s="66"/>
      <c r="E5" s="66"/>
    </row>
    <row r="6" spans="1:6" x14ac:dyDescent="0.25">
      <c r="A6" s="43"/>
      <c r="B6" s="43"/>
      <c r="C6" s="43"/>
      <c r="D6" s="43"/>
      <c r="E6" s="43"/>
    </row>
    <row r="7" spans="1:6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6" x14ac:dyDescent="0.25">
      <c r="A8" s="10" t="s">
        <v>7</v>
      </c>
      <c r="B8" s="10"/>
      <c r="C8" s="11"/>
      <c r="D8" s="12" t="s">
        <v>36</v>
      </c>
      <c r="E8" s="13">
        <f>65517.72+1050</f>
        <v>66567.72</v>
      </c>
    </row>
    <row r="9" spans="1:6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13">
        <v>1330.6</v>
      </c>
    </row>
    <row r="10" spans="1:6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720.5+157.4+46.89</f>
        <v>924.79</v>
      </c>
    </row>
    <row r="11" spans="1:6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200+4900+377.72+53.09</f>
        <v>5530.81</v>
      </c>
      <c r="F11" s="44"/>
    </row>
    <row r="12" spans="1:6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11182.56+173.26</f>
        <v>11355.82</v>
      </c>
      <c r="F12" s="44"/>
    </row>
    <row r="13" spans="1:6" ht="30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2236.67</v>
      </c>
      <c r="F13" s="44"/>
    </row>
    <row r="14" spans="1:6" s="43" customFormat="1" ht="30" x14ac:dyDescent="0.25">
      <c r="A14" s="35" t="s">
        <v>111</v>
      </c>
      <c r="B14" s="23">
        <v>46745727313</v>
      </c>
      <c r="C14" s="24" t="s">
        <v>11</v>
      </c>
      <c r="D14" s="38" t="s">
        <v>85</v>
      </c>
      <c r="E14" s="13">
        <v>100</v>
      </c>
      <c r="F14" s="44"/>
    </row>
    <row r="15" spans="1:6" x14ac:dyDescent="0.25">
      <c r="A15" s="23" t="s">
        <v>7</v>
      </c>
      <c r="B15" s="23"/>
      <c r="C15" s="24"/>
      <c r="D15" s="25" t="s">
        <v>71</v>
      </c>
      <c r="E15" s="13">
        <f>111.27+395+652.8</f>
        <v>1159.07</v>
      </c>
      <c r="F15" s="44"/>
    </row>
    <row r="16" spans="1:6" ht="30" x14ac:dyDescent="0.25">
      <c r="A16" s="10" t="s">
        <v>7</v>
      </c>
      <c r="B16" s="10"/>
      <c r="C16" s="11"/>
      <c r="D16" s="12" t="s">
        <v>66</v>
      </c>
      <c r="E16" s="13">
        <f>18+129.75</f>
        <v>147.75</v>
      </c>
      <c r="F16" s="44"/>
    </row>
    <row r="17" spans="1:6" x14ac:dyDescent="0.25">
      <c r="A17" s="10" t="s">
        <v>10</v>
      </c>
      <c r="B17" s="30">
        <v>18683136487</v>
      </c>
      <c r="C17" s="11" t="s">
        <v>11</v>
      </c>
      <c r="D17" s="12" t="s">
        <v>38</v>
      </c>
      <c r="E17" s="13">
        <v>336</v>
      </c>
      <c r="F17" s="44"/>
    </row>
    <row r="18" spans="1:6" x14ac:dyDescent="0.25">
      <c r="A18" s="10" t="s">
        <v>39</v>
      </c>
      <c r="B18" s="29">
        <v>44138062462</v>
      </c>
      <c r="C18" s="11" t="s">
        <v>40</v>
      </c>
      <c r="D18" s="12" t="s">
        <v>41</v>
      </c>
      <c r="E18" s="13">
        <f>151.96+143.77+52.25+198.98+263.33+181.28+154.46</f>
        <v>1146.03</v>
      </c>
      <c r="F18" s="44"/>
    </row>
    <row r="19" spans="1:6" ht="30" x14ac:dyDescent="0.25">
      <c r="A19" s="10" t="s">
        <v>105</v>
      </c>
      <c r="B19" s="10">
        <v>37879152548</v>
      </c>
      <c r="C19" s="11" t="s">
        <v>23</v>
      </c>
      <c r="D19" s="12" t="s">
        <v>24</v>
      </c>
      <c r="E19" s="13">
        <v>80.19</v>
      </c>
    </row>
    <row r="20" spans="1:6" ht="30" x14ac:dyDescent="0.25">
      <c r="A20" s="23" t="s">
        <v>78</v>
      </c>
      <c r="B20" s="23">
        <v>68419124305</v>
      </c>
      <c r="C20" s="24" t="s">
        <v>11</v>
      </c>
      <c r="D20" s="25" t="s">
        <v>79</v>
      </c>
      <c r="E20" s="13">
        <v>10.62</v>
      </c>
    </row>
    <row r="21" spans="1:6" ht="47.25" customHeight="1" x14ac:dyDescent="0.25">
      <c r="A21" s="10" t="s">
        <v>106</v>
      </c>
      <c r="B21" s="29"/>
      <c r="C21" s="11"/>
      <c r="D21" s="12" t="s">
        <v>27</v>
      </c>
      <c r="E21" s="13">
        <v>1155</v>
      </c>
    </row>
    <row r="22" spans="1:6" ht="30" x14ac:dyDescent="0.25">
      <c r="A22" s="10" t="s">
        <v>17</v>
      </c>
      <c r="B22" s="29">
        <v>81793146560</v>
      </c>
      <c r="C22" s="11" t="s">
        <v>11</v>
      </c>
      <c r="D22" s="12" t="s">
        <v>16</v>
      </c>
      <c r="E22" s="13">
        <f>23.49+49.25</f>
        <v>72.739999999999995</v>
      </c>
    </row>
    <row r="23" spans="1:6" x14ac:dyDescent="0.25">
      <c r="A23" s="10" t="s">
        <v>17</v>
      </c>
      <c r="B23" s="29">
        <v>81793146560</v>
      </c>
      <c r="C23" s="11" t="s">
        <v>11</v>
      </c>
      <c r="D23" s="12" t="s">
        <v>50</v>
      </c>
      <c r="E23" s="13">
        <f>0.19+0.08</f>
        <v>0.27</v>
      </c>
    </row>
    <row r="24" spans="1:6" ht="30" x14ac:dyDescent="0.25">
      <c r="A24" s="36" t="s">
        <v>107</v>
      </c>
      <c r="B24" s="10">
        <v>35321872873</v>
      </c>
      <c r="C24" s="37" t="s">
        <v>57</v>
      </c>
      <c r="D24" s="12" t="s">
        <v>24</v>
      </c>
      <c r="E24" s="13">
        <v>47.5</v>
      </c>
    </row>
    <row r="25" spans="1:6" x14ac:dyDescent="0.25">
      <c r="A25" s="23" t="s">
        <v>47</v>
      </c>
      <c r="B25" s="23">
        <v>43965974818</v>
      </c>
      <c r="C25" s="24" t="s">
        <v>11</v>
      </c>
      <c r="D25" s="11" t="s">
        <v>19</v>
      </c>
      <c r="E25" s="13">
        <v>2.85</v>
      </c>
    </row>
    <row r="26" spans="1:6" x14ac:dyDescent="0.25">
      <c r="A26" s="10" t="s">
        <v>18</v>
      </c>
      <c r="B26" s="29">
        <v>63073332379</v>
      </c>
      <c r="C26" s="11" t="s">
        <v>11</v>
      </c>
      <c r="D26" s="11" t="s">
        <v>19</v>
      </c>
      <c r="E26" s="13">
        <v>652.53</v>
      </c>
    </row>
    <row r="27" spans="1:6" x14ac:dyDescent="0.25">
      <c r="A27" s="10" t="s">
        <v>20</v>
      </c>
      <c r="B27" s="10">
        <v>85821130368</v>
      </c>
      <c r="C27" s="11" t="s">
        <v>11</v>
      </c>
      <c r="D27" s="11" t="s">
        <v>21</v>
      </c>
      <c r="E27" s="13">
        <v>1.66</v>
      </c>
    </row>
    <row r="28" spans="1:6" x14ac:dyDescent="0.25">
      <c r="A28" s="10" t="s">
        <v>22</v>
      </c>
      <c r="B28" s="29">
        <v>41317489366</v>
      </c>
      <c r="C28" s="11" t="s">
        <v>23</v>
      </c>
      <c r="D28" s="11" t="s">
        <v>19</v>
      </c>
      <c r="E28" s="13">
        <f>2917.92+16.09</f>
        <v>2934.01</v>
      </c>
    </row>
    <row r="29" spans="1:6" x14ac:dyDescent="0.25">
      <c r="A29" s="10" t="s">
        <v>48</v>
      </c>
      <c r="B29" s="10">
        <v>97575612726</v>
      </c>
      <c r="C29" s="11" t="s">
        <v>45</v>
      </c>
      <c r="D29" s="12" t="s">
        <v>13</v>
      </c>
      <c r="E29" s="13">
        <f>11.24+11.96+11.96+11.96+68.24</f>
        <v>115.36</v>
      </c>
    </row>
    <row r="30" spans="1:6" x14ac:dyDescent="0.25">
      <c r="A30" s="10" t="s">
        <v>49</v>
      </c>
      <c r="B30" s="10">
        <v>71442681806</v>
      </c>
      <c r="C30" s="11" t="s">
        <v>45</v>
      </c>
      <c r="D30" s="12" t="s">
        <v>13</v>
      </c>
      <c r="E30" s="13">
        <f>4.04+3.6+42.14+49.36</f>
        <v>99.14</v>
      </c>
    </row>
    <row r="31" spans="1:6" x14ac:dyDescent="0.25">
      <c r="A31" s="10" t="s">
        <v>49</v>
      </c>
      <c r="B31" s="10">
        <v>71442681806</v>
      </c>
      <c r="C31" s="11" t="s">
        <v>45</v>
      </c>
      <c r="D31" s="12" t="s">
        <v>50</v>
      </c>
      <c r="E31" s="13">
        <f>0.42+0.15+0.01+0.01</f>
        <v>0.59</v>
      </c>
    </row>
    <row r="32" spans="1:6" ht="30" x14ac:dyDescent="0.25">
      <c r="A32" s="10" t="s">
        <v>14</v>
      </c>
      <c r="B32" s="10">
        <v>87311810356</v>
      </c>
      <c r="C32" s="11" t="s">
        <v>15</v>
      </c>
      <c r="D32" s="12" t="s">
        <v>16</v>
      </c>
      <c r="E32" s="13">
        <v>32.06</v>
      </c>
    </row>
    <row r="33" spans="1:6" x14ac:dyDescent="0.25">
      <c r="A33" s="10" t="s">
        <v>51</v>
      </c>
      <c r="B33" s="10">
        <v>45594774168</v>
      </c>
      <c r="C33" s="11" t="s">
        <v>45</v>
      </c>
      <c r="D33" s="12" t="s">
        <v>52</v>
      </c>
      <c r="E33" s="13">
        <f>12+8+6.65+93.75</f>
        <v>120.4</v>
      </c>
    </row>
    <row r="34" spans="1:6" x14ac:dyDescent="0.25">
      <c r="A34" s="10" t="s">
        <v>73</v>
      </c>
      <c r="B34" s="10">
        <v>27332507825</v>
      </c>
      <c r="C34" s="11" t="s">
        <v>74</v>
      </c>
      <c r="D34" s="12" t="s">
        <v>75</v>
      </c>
      <c r="E34" s="13">
        <v>62.5</v>
      </c>
    </row>
    <row r="35" spans="1:6" ht="30" x14ac:dyDescent="0.25">
      <c r="A35" s="10" t="s">
        <v>54</v>
      </c>
      <c r="B35" s="10">
        <v>47414897452</v>
      </c>
      <c r="C35" s="11" t="s">
        <v>55</v>
      </c>
      <c r="D35" s="12" t="s">
        <v>24</v>
      </c>
      <c r="E35" s="13">
        <v>34.159999999999997</v>
      </c>
    </row>
    <row r="36" spans="1:6" x14ac:dyDescent="0.25">
      <c r="A36" s="10" t="s">
        <v>54</v>
      </c>
      <c r="B36" s="10">
        <v>47414897452</v>
      </c>
      <c r="C36" s="11" t="s">
        <v>55</v>
      </c>
      <c r="D36" s="12" t="s">
        <v>41</v>
      </c>
      <c r="E36" s="13">
        <v>138.49</v>
      </c>
      <c r="F36" s="44"/>
    </row>
    <row r="37" spans="1:6" ht="30" x14ac:dyDescent="0.25">
      <c r="A37" s="35" t="s">
        <v>108</v>
      </c>
      <c r="B37" s="23">
        <v>14861822643</v>
      </c>
      <c r="C37" s="33" t="s">
        <v>109</v>
      </c>
      <c r="D37" s="38" t="s">
        <v>110</v>
      </c>
      <c r="E37" s="13">
        <v>43.8</v>
      </c>
    </row>
    <row r="38" spans="1:6" ht="30" x14ac:dyDescent="0.25">
      <c r="A38" s="36" t="s">
        <v>87</v>
      </c>
      <c r="B38" s="10"/>
      <c r="C38" s="37"/>
      <c r="D38" s="12" t="s">
        <v>24</v>
      </c>
      <c r="E38" s="13">
        <v>118.64</v>
      </c>
    </row>
    <row r="39" spans="1:6" ht="30" x14ac:dyDescent="0.25">
      <c r="A39" s="35" t="s">
        <v>90</v>
      </c>
      <c r="B39" s="23">
        <v>43616114716</v>
      </c>
      <c r="C39" s="33" t="s">
        <v>45</v>
      </c>
      <c r="D39" s="12" t="s">
        <v>24</v>
      </c>
      <c r="E39" s="13">
        <v>39.28</v>
      </c>
    </row>
    <row r="40" spans="1:6" x14ac:dyDescent="0.25">
      <c r="A40" s="35" t="s">
        <v>91</v>
      </c>
      <c r="B40" s="23">
        <v>96591335948</v>
      </c>
      <c r="C40" s="33" t="s">
        <v>45</v>
      </c>
      <c r="D40" s="12" t="s">
        <v>13</v>
      </c>
      <c r="E40" s="13">
        <v>28.5</v>
      </c>
    </row>
    <row r="41" spans="1:6" ht="30" x14ac:dyDescent="0.25">
      <c r="A41" s="36" t="s">
        <v>88</v>
      </c>
      <c r="B41" s="10">
        <v>71559085353</v>
      </c>
      <c r="C41" s="37" t="s">
        <v>89</v>
      </c>
      <c r="D41" s="12" t="s">
        <v>24</v>
      </c>
      <c r="E41" s="13">
        <f>75.3+19.45+75.3</f>
        <v>170.05</v>
      </c>
    </row>
    <row r="42" spans="1:6" x14ac:dyDescent="0.25">
      <c r="A42" s="10" t="s">
        <v>60</v>
      </c>
      <c r="B42" s="10">
        <v>43238257395</v>
      </c>
      <c r="C42" s="11" t="s">
        <v>45</v>
      </c>
      <c r="D42" s="12" t="s">
        <v>41</v>
      </c>
      <c r="E42" s="13">
        <f>580.89+117.02</f>
        <v>697.91</v>
      </c>
      <c r="F42" s="44"/>
    </row>
    <row r="43" spans="1:6" x14ac:dyDescent="0.25">
      <c r="A43" s="10" t="s">
        <v>61</v>
      </c>
      <c r="B43" s="10">
        <v>41976933718</v>
      </c>
      <c r="C43" s="11" t="s">
        <v>62</v>
      </c>
      <c r="D43" s="12" t="s">
        <v>41</v>
      </c>
      <c r="E43" s="13">
        <v>268.85000000000002</v>
      </c>
      <c r="F43" s="44"/>
    </row>
    <row r="44" spans="1:6" x14ac:dyDescent="0.25">
      <c r="A44" s="10" t="s">
        <v>65</v>
      </c>
      <c r="B44" s="10">
        <v>63074697345</v>
      </c>
      <c r="C44" s="11" t="s">
        <v>45</v>
      </c>
      <c r="D44" s="12" t="s">
        <v>41</v>
      </c>
      <c r="E44" s="13">
        <v>372.91</v>
      </c>
      <c r="F44" s="44"/>
    </row>
    <row r="45" spans="1:6" x14ac:dyDescent="0.25">
      <c r="A45" s="23" t="s">
        <v>72</v>
      </c>
      <c r="B45" s="35" t="s">
        <v>86</v>
      </c>
      <c r="C45" s="24" t="s">
        <v>11</v>
      </c>
      <c r="D45" s="12" t="s">
        <v>41</v>
      </c>
      <c r="E45" s="13">
        <f>100.5+80.88</f>
        <v>181.38</v>
      </c>
      <c r="F45" s="44"/>
    </row>
    <row r="46" spans="1:6" x14ac:dyDescent="0.25">
      <c r="A46" s="16" t="s">
        <v>26</v>
      </c>
      <c r="B46" s="16"/>
      <c r="C46" s="17"/>
      <c r="D46" s="17"/>
      <c r="E46" s="18">
        <f>SUM(E8:E45)</f>
        <v>98316.650000000023</v>
      </c>
    </row>
    <row r="47" spans="1:6" x14ac:dyDescent="0.25">
      <c r="A47" s="43"/>
      <c r="B47" s="43"/>
      <c r="C47" s="43"/>
      <c r="D47" s="43"/>
      <c r="E47" s="43"/>
    </row>
    <row r="48" spans="1:6" x14ac:dyDescent="0.25">
      <c r="A48" s="41" t="s">
        <v>112</v>
      </c>
      <c r="B48" s="43"/>
      <c r="C48" s="43"/>
      <c r="D48" s="43"/>
      <c r="E48" s="4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16 A35:D46">
    <cfRule type="expression" dxfId="315" priority="1">
      <formula>MOD(ROW(),2)=0</formula>
    </cfRule>
  </conditionalFormatting>
  <conditionalFormatting sqref="E38:E46 E17:E29">
    <cfRule type="expression" dxfId="314" priority="2">
      <formula>MOD(ROW(),2)=0</formula>
    </cfRule>
  </conditionalFormatting>
  <conditionalFormatting sqref="E38:E46 E17:E29">
    <cfRule type="expression" dxfId="313" priority="3">
      <formula>MOD(ROW(),2)=1</formula>
    </cfRule>
  </conditionalFormatting>
  <conditionalFormatting sqref="A8:D8 A24:A28 D22 A29:D30 A31:C34 A10:D10 A17:A21 C24:D28 C17:D21">
    <cfRule type="expression" dxfId="312" priority="17">
      <formula>MOD(ROW(),2)=0</formula>
    </cfRule>
  </conditionalFormatting>
  <conditionalFormatting sqref="E8 E34 E10">
    <cfRule type="expression" dxfId="311" priority="18">
      <formula>MOD(ROW(),2)=0</formula>
    </cfRule>
  </conditionalFormatting>
  <conditionalFormatting sqref="E8 E34 E10">
    <cfRule type="expression" dxfId="310" priority="19">
      <formula>MOD(ROW(),2)=1</formula>
    </cfRule>
  </conditionalFormatting>
  <conditionalFormatting sqref="E30:E33">
    <cfRule type="expression" dxfId="309" priority="20">
      <formula>MOD(ROW(),2)=0</formula>
    </cfRule>
  </conditionalFormatting>
  <conditionalFormatting sqref="E30:E33">
    <cfRule type="expression" dxfId="308" priority="21">
      <formula>MOD(ROW(),2)=1</formula>
    </cfRule>
  </conditionalFormatting>
  <conditionalFormatting sqref="E35:E37">
    <cfRule type="expression" dxfId="307" priority="22">
      <formula>MOD(ROW(),2)=0</formula>
    </cfRule>
  </conditionalFormatting>
  <conditionalFormatting sqref="E35:E37">
    <cfRule type="expression" dxfId="306" priority="23">
      <formula>MOD(ROW(),2)=1</formula>
    </cfRule>
  </conditionalFormatting>
  <conditionalFormatting sqref="A22 C22">
    <cfRule type="expression" dxfId="305" priority="24">
      <formula>MOD(ROW(),2)=0</formula>
    </cfRule>
  </conditionalFormatting>
  <conditionalFormatting sqref="A13:D15">
    <cfRule type="expression" dxfId="304" priority="25">
      <formula>MOD(ROW(),2)=0</formula>
    </cfRule>
  </conditionalFormatting>
  <conditionalFormatting sqref="E13:E15">
    <cfRule type="expression" dxfId="303" priority="26">
      <formula>MOD(ROW(),2)=0</formula>
    </cfRule>
  </conditionalFormatting>
  <conditionalFormatting sqref="E13:E15">
    <cfRule type="expression" dxfId="302" priority="27">
      <formula>MOD(ROW(),2)=1</formula>
    </cfRule>
  </conditionalFormatting>
  <conditionalFormatting sqref="D31 D33">
    <cfRule type="expression" dxfId="301" priority="28">
      <formula>MOD(ROW(),2)=0</formula>
    </cfRule>
  </conditionalFormatting>
  <conditionalFormatting sqref="A23 C23">
    <cfRule type="expression" dxfId="300" priority="16">
      <formula>MOD(ROW(),2)=0</formula>
    </cfRule>
  </conditionalFormatting>
  <conditionalFormatting sqref="D23">
    <cfRule type="expression" dxfId="299" priority="15">
      <formula>MOD(ROW(),2)=0</formula>
    </cfRule>
  </conditionalFormatting>
  <conditionalFormatting sqref="D32">
    <cfRule type="expression" dxfId="298" priority="14">
      <formula>MOD(ROW(),2)=0</formula>
    </cfRule>
  </conditionalFormatting>
  <conditionalFormatting sqref="D34">
    <cfRule type="expression" dxfId="297" priority="13">
      <formula>MOD(ROW(),2)=0</formula>
    </cfRule>
  </conditionalFormatting>
  <conditionalFormatting sqref="A9:D9">
    <cfRule type="expression" dxfId="296" priority="10">
      <formula>MOD(ROW(),2)=0</formula>
    </cfRule>
  </conditionalFormatting>
  <conditionalFormatting sqref="A12:D12">
    <cfRule type="expression" dxfId="295" priority="7">
      <formula>MOD(ROW(),2)=0</formula>
    </cfRule>
  </conditionalFormatting>
  <conditionalFormatting sqref="E9">
    <cfRule type="expression" dxfId="294" priority="11">
      <formula>MOD(ROW(),2)=0</formula>
    </cfRule>
  </conditionalFormatting>
  <conditionalFormatting sqref="E9">
    <cfRule type="expression" dxfId="293" priority="12">
      <formula>MOD(ROW(),2)=1</formula>
    </cfRule>
  </conditionalFormatting>
  <conditionalFormatting sqref="E12">
    <cfRule type="expression" dxfId="292" priority="8">
      <formula>MOD(ROW(),2)=0</formula>
    </cfRule>
  </conditionalFormatting>
  <conditionalFormatting sqref="E12">
    <cfRule type="expression" dxfId="291" priority="9">
      <formula>MOD(ROW(),2)=1</formula>
    </cfRule>
  </conditionalFormatting>
  <conditionalFormatting sqref="A11 C11:D11">
    <cfRule type="expression" dxfId="290" priority="4">
      <formula>MOD(ROW(),2)=0</formula>
    </cfRule>
  </conditionalFormatting>
  <conditionalFormatting sqref="E11">
    <cfRule type="expression" dxfId="289" priority="5">
      <formula>MOD(ROW(),2)=0</formula>
    </cfRule>
  </conditionalFormatting>
  <conditionalFormatting sqref="E11">
    <cfRule type="expression" dxfId="288" priority="6">
      <formula>MOD(ROW(),2)=1</formula>
    </cfRule>
  </conditionalFormatting>
  <conditionalFormatting sqref="E16">
    <cfRule type="expression" dxfId="287" priority="29">
      <formula>MOD(ROW(),2)=0</formula>
    </cfRule>
  </conditionalFormatting>
  <conditionalFormatting sqref="E16">
    <cfRule type="expression" dxfId="286" priority="30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6A463-0AAA-4C04-82D5-37A3018DA0E7}">
  <sheetPr>
    <tabColor theme="8" tint="0.39997558519241921"/>
  </sheetPr>
  <dimension ref="A1:E47"/>
  <sheetViews>
    <sheetView workbookViewId="0">
      <selection sqref="A1:E47"/>
    </sheetView>
  </sheetViews>
  <sheetFormatPr defaultRowHeight="15" x14ac:dyDescent="0.25"/>
  <cols>
    <col min="1" max="1" width="45.42578125" customWidth="1"/>
    <col min="2" max="2" width="19.7109375" customWidth="1"/>
    <col min="3" max="3" width="27.7109375" customWidth="1"/>
    <col min="4" max="4" width="35.28515625" customWidth="1"/>
    <col min="5" max="5" width="17.85546875" customWidth="1"/>
  </cols>
  <sheetData>
    <row r="1" spans="1:5" ht="46.5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30" customHeight="1" x14ac:dyDescent="0.25">
      <c r="A4" s="45" t="s">
        <v>113</v>
      </c>
      <c r="B4" s="6"/>
      <c r="C4" s="6"/>
      <c r="D4" s="6"/>
      <c r="E4" s="6"/>
    </row>
    <row r="5" spans="1:5" ht="26.25" customHeight="1" x14ac:dyDescent="0.25">
      <c r="A5" s="65" t="s">
        <v>1</v>
      </c>
      <c r="B5" s="66"/>
      <c r="C5" s="66"/>
      <c r="D5" s="66"/>
      <c r="E5" s="66"/>
    </row>
    <row r="6" spans="1:5" x14ac:dyDescent="0.25">
      <c r="A6" s="46"/>
      <c r="B6" s="46"/>
      <c r="C6" s="46"/>
      <c r="D6" s="46"/>
      <c r="E6" s="46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77386.69+1050</f>
        <v>78436.69</v>
      </c>
    </row>
    <row r="9" spans="1:5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2441.19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1277.3+245.92+105.89</f>
        <v>1629.1100000000001</v>
      </c>
    </row>
    <row r="11" spans="1:5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v>53.09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13440.44+173.26</f>
        <v>13613.7</v>
      </c>
    </row>
    <row r="13" spans="1:5" ht="30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2291.39</v>
      </c>
    </row>
    <row r="14" spans="1:5" x14ac:dyDescent="0.25">
      <c r="A14" s="35" t="s">
        <v>114</v>
      </c>
      <c r="B14" s="23">
        <v>45052309127</v>
      </c>
      <c r="C14" s="24" t="s">
        <v>11</v>
      </c>
      <c r="D14" s="12" t="s">
        <v>77</v>
      </c>
      <c r="E14" s="13">
        <v>25</v>
      </c>
    </row>
    <row r="15" spans="1:5" x14ac:dyDescent="0.25">
      <c r="A15" s="23" t="s">
        <v>7</v>
      </c>
      <c r="B15" s="23"/>
      <c r="C15" s="24"/>
      <c r="D15" s="25" t="s">
        <v>71</v>
      </c>
      <c r="E15" s="13">
        <f>55.29+66.2</f>
        <v>121.49000000000001</v>
      </c>
    </row>
    <row r="16" spans="1:5" ht="30" x14ac:dyDescent="0.25">
      <c r="A16" s="10" t="s">
        <v>7</v>
      </c>
      <c r="B16" s="10"/>
      <c r="C16" s="11"/>
      <c r="D16" s="12" t="s">
        <v>66</v>
      </c>
      <c r="E16" s="13">
        <f>53.5+99</f>
        <v>152.5</v>
      </c>
    </row>
    <row r="17" spans="1:5" x14ac:dyDescent="0.25">
      <c r="A17" s="10" t="s">
        <v>10</v>
      </c>
      <c r="B17" s="30">
        <v>18683136487</v>
      </c>
      <c r="C17" s="11" t="s">
        <v>11</v>
      </c>
      <c r="D17" s="12" t="s">
        <v>38</v>
      </c>
      <c r="E17" s="13">
        <v>336</v>
      </c>
    </row>
    <row r="18" spans="1:5" x14ac:dyDescent="0.25">
      <c r="A18" s="10" t="s">
        <v>39</v>
      </c>
      <c r="B18" s="29">
        <v>44138062462</v>
      </c>
      <c r="C18" s="11" t="s">
        <v>40</v>
      </c>
      <c r="D18" s="12" t="s">
        <v>41</v>
      </c>
      <c r="E18" s="13">
        <f>370.68+72.86+148.78+114.23+43.93+84.66+178.02+132.87+131.6+222.22</f>
        <v>1499.85</v>
      </c>
    </row>
    <row r="19" spans="1:5" ht="30" x14ac:dyDescent="0.25">
      <c r="A19" s="10" t="s">
        <v>105</v>
      </c>
      <c r="B19" s="10">
        <v>37879152548</v>
      </c>
      <c r="C19" s="11" t="s">
        <v>23</v>
      </c>
      <c r="D19" s="12" t="s">
        <v>24</v>
      </c>
      <c r="E19" s="13">
        <v>114.71</v>
      </c>
    </row>
    <row r="20" spans="1:5" ht="30" x14ac:dyDescent="0.25">
      <c r="A20" s="23" t="s">
        <v>78</v>
      </c>
      <c r="B20" s="23">
        <v>68419124305</v>
      </c>
      <c r="C20" s="24" t="s">
        <v>11</v>
      </c>
      <c r="D20" s="25" t="s">
        <v>79</v>
      </c>
      <c r="E20" s="13">
        <v>10.62</v>
      </c>
    </row>
    <row r="21" spans="1:5" ht="30" x14ac:dyDescent="0.25">
      <c r="A21" s="10" t="s">
        <v>88</v>
      </c>
      <c r="B21" s="29">
        <v>71559085353</v>
      </c>
      <c r="C21" s="11" t="s">
        <v>89</v>
      </c>
      <c r="D21" s="12" t="s">
        <v>24</v>
      </c>
      <c r="E21" s="13">
        <f>108.2+13.44</f>
        <v>121.64</v>
      </c>
    </row>
    <row r="22" spans="1:5" ht="30" x14ac:dyDescent="0.25">
      <c r="A22" s="10" t="s">
        <v>17</v>
      </c>
      <c r="B22" s="29">
        <v>81793146560</v>
      </c>
      <c r="C22" s="11" t="s">
        <v>11</v>
      </c>
      <c r="D22" s="12" t="s">
        <v>16</v>
      </c>
      <c r="E22" s="13">
        <f>49.25+23.49</f>
        <v>72.739999999999995</v>
      </c>
    </row>
    <row r="23" spans="1:5" x14ac:dyDescent="0.25">
      <c r="A23" s="10" t="s">
        <v>17</v>
      </c>
      <c r="B23" s="29">
        <v>81793146560</v>
      </c>
      <c r="C23" s="11" t="s">
        <v>11</v>
      </c>
      <c r="D23" s="12" t="s">
        <v>50</v>
      </c>
      <c r="E23" s="13">
        <f>0.18+0.08</f>
        <v>0.26</v>
      </c>
    </row>
    <row r="24" spans="1:5" ht="30" x14ac:dyDescent="0.25">
      <c r="A24" s="36" t="s">
        <v>107</v>
      </c>
      <c r="B24" s="10">
        <v>35321872873</v>
      </c>
      <c r="C24" s="37" t="s">
        <v>57</v>
      </c>
      <c r="D24" s="12" t="s">
        <v>24</v>
      </c>
      <c r="E24" s="13">
        <f>21+47.1</f>
        <v>68.099999999999994</v>
      </c>
    </row>
    <row r="25" spans="1:5" s="46" customFormat="1" ht="30" x14ac:dyDescent="0.25">
      <c r="A25" s="35" t="s">
        <v>46</v>
      </c>
      <c r="B25" s="23">
        <v>26900108342</v>
      </c>
      <c r="C25" s="33" t="s">
        <v>45</v>
      </c>
      <c r="D25" s="12" t="s">
        <v>24</v>
      </c>
      <c r="E25" s="13">
        <v>9.08</v>
      </c>
    </row>
    <row r="26" spans="1:5" x14ac:dyDescent="0.25">
      <c r="A26" s="23" t="s">
        <v>47</v>
      </c>
      <c r="B26" s="23">
        <v>43965974818</v>
      </c>
      <c r="C26" s="24" t="s">
        <v>11</v>
      </c>
      <c r="D26" s="11" t="s">
        <v>19</v>
      </c>
      <c r="E26" s="13">
        <f>2.85+62.37</f>
        <v>65.22</v>
      </c>
    </row>
    <row r="27" spans="1:5" x14ac:dyDescent="0.25">
      <c r="A27" s="10" t="s">
        <v>18</v>
      </c>
      <c r="B27" s="29">
        <v>63073332379</v>
      </c>
      <c r="C27" s="11" t="s">
        <v>11</v>
      </c>
      <c r="D27" s="11" t="s">
        <v>19</v>
      </c>
      <c r="E27" s="13">
        <v>600.36</v>
      </c>
    </row>
    <row r="28" spans="1:5" x14ac:dyDescent="0.25">
      <c r="A28" s="10" t="s">
        <v>20</v>
      </c>
      <c r="B28" s="10">
        <v>85821130368</v>
      </c>
      <c r="C28" s="11" t="s">
        <v>11</v>
      </c>
      <c r="D28" s="11" t="s">
        <v>21</v>
      </c>
      <c r="E28" s="13">
        <v>1.66</v>
      </c>
    </row>
    <row r="29" spans="1:5" x14ac:dyDescent="0.25">
      <c r="A29" s="10" t="s">
        <v>22</v>
      </c>
      <c r="B29" s="29">
        <v>41317489366</v>
      </c>
      <c r="C29" s="11" t="s">
        <v>23</v>
      </c>
      <c r="D29" s="11" t="s">
        <v>19</v>
      </c>
      <c r="E29" s="13">
        <f>15.34+2412.05</f>
        <v>2427.3900000000003</v>
      </c>
    </row>
    <row r="30" spans="1:5" x14ac:dyDescent="0.25">
      <c r="A30" s="10" t="s">
        <v>48</v>
      </c>
      <c r="B30" s="10">
        <v>97575612726</v>
      </c>
      <c r="C30" s="11" t="s">
        <v>45</v>
      </c>
      <c r="D30" s="12" t="s">
        <v>13</v>
      </c>
      <c r="E30" s="13">
        <f>11.24+11.24+11.24+12.68+86.24</f>
        <v>132.63999999999999</v>
      </c>
    </row>
    <row r="31" spans="1:5" x14ac:dyDescent="0.25">
      <c r="A31" s="10" t="s">
        <v>49</v>
      </c>
      <c r="B31" s="10">
        <v>71442681806</v>
      </c>
      <c r="C31" s="11" t="s">
        <v>45</v>
      </c>
      <c r="D31" s="12" t="s">
        <v>13</v>
      </c>
      <c r="E31" s="13">
        <f>63.83+42.14+3.6+4.04</f>
        <v>113.61</v>
      </c>
    </row>
    <row r="32" spans="1:5" x14ac:dyDescent="0.25">
      <c r="A32" s="10" t="s">
        <v>49</v>
      </c>
      <c r="B32" s="10">
        <v>71442681806</v>
      </c>
      <c r="C32" s="11" t="s">
        <v>45</v>
      </c>
      <c r="D32" s="12" t="s">
        <v>50</v>
      </c>
      <c r="E32" s="13">
        <f>0.17+0.14+0.01+0.01</f>
        <v>0.33000000000000007</v>
      </c>
    </row>
    <row r="33" spans="1:5" ht="30" x14ac:dyDescent="0.25">
      <c r="A33" s="10" t="s">
        <v>14</v>
      </c>
      <c r="B33" s="10">
        <v>87311810356</v>
      </c>
      <c r="C33" s="11" t="s">
        <v>15</v>
      </c>
      <c r="D33" s="12" t="s">
        <v>16</v>
      </c>
      <c r="E33" s="13">
        <v>36.6</v>
      </c>
    </row>
    <row r="34" spans="1:5" x14ac:dyDescent="0.25">
      <c r="A34" s="10" t="s">
        <v>73</v>
      </c>
      <c r="B34" s="10">
        <v>27332507825</v>
      </c>
      <c r="C34" s="11" t="s">
        <v>74</v>
      </c>
      <c r="D34" s="12" t="s">
        <v>75</v>
      </c>
      <c r="E34" s="13">
        <v>62.5</v>
      </c>
    </row>
    <row r="35" spans="1:5" ht="30" x14ac:dyDescent="0.25">
      <c r="A35" s="10" t="s">
        <v>54</v>
      </c>
      <c r="B35" s="10">
        <v>47414897452</v>
      </c>
      <c r="C35" s="11" t="s">
        <v>55</v>
      </c>
      <c r="D35" s="12" t="s">
        <v>24</v>
      </c>
      <c r="E35" s="13">
        <f>26.6+20.28</f>
        <v>46.88</v>
      </c>
    </row>
    <row r="36" spans="1:5" x14ac:dyDescent="0.25">
      <c r="A36" s="10" t="s">
        <v>54</v>
      </c>
      <c r="B36" s="10">
        <v>47414897452</v>
      </c>
      <c r="C36" s="11" t="s">
        <v>55</v>
      </c>
      <c r="D36" s="12" t="s">
        <v>41</v>
      </c>
      <c r="E36" s="13">
        <f>11.33+223.67</f>
        <v>235</v>
      </c>
    </row>
    <row r="37" spans="1:5" x14ac:dyDescent="0.25">
      <c r="A37" s="35" t="s">
        <v>63</v>
      </c>
      <c r="B37" s="23">
        <v>18928523252</v>
      </c>
      <c r="C37" s="33" t="s">
        <v>64</v>
      </c>
      <c r="D37" s="12" t="s">
        <v>41</v>
      </c>
      <c r="E37" s="13">
        <f>46.6+106.54+34.04</f>
        <v>187.18</v>
      </c>
    </row>
    <row r="38" spans="1:5" ht="30" x14ac:dyDescent="0.25">
      <c r="A38" s="36" t="s">
        <v>87</v>
      </c>
      <c r="B38" s="10"/>
      <c r="C38" s="37"/>
      <c r="D38" s="12" t="s">
        <v>24</v>
      </c>
      <c r="E38" s="13">
        <v>213.19</v>
      </c>
    </row>
    <row r="39" spans="1:5" x14ac:dyDescent="0.25">
      <c r="A39" s="35" t="s">
        <v>116</v>
      </c>
      <c r="B39" s="23">
        <v>75550985023</v>
      </c>
      <c r="C39" s="33" t="s">
        <v>11</v>
      </c>
      <c r="D39" s="11" t="s">
        <v>19</v>
      </c>
      <c r="E39" s="13">
        <v>119.2</v>
      </c>
    </row>
    <row r="40" spans="1:5" x14ac:dyDescent="0.25">
      <c r="A40" s="36" t="s">
        <v>115</v>
      </c>
      <c r="B40" s="10">
        <v>74837079406</v>
      </c>
      <c r="C40" s="37" t="s">
        <v>55</v>
      </c>
      <c r="D40" s="12" t="s">
        <v>13</v>
      </c>
      <c r="E40" s="13">
        <v>405.03</v>
      </c>
    </row>
    <row r="41" spans="1:5" x14ac:dyDescent="0.25">
      <c r="A41" s="10" t="s">
        <v>60</v>
      </c>
      <c r="B41" s="10">
        <v>43238257395</v>
      </c>
      <c r="C41" s="11" t="s">
        <v>45</v>
      </c>
      <c r="D41" s="12" t="s">
        <v>41</v>
      </c>
      <c r="E41" s="13">
        <f>573.78+412.42</f>
        <v>986.2</v>
      </c>
    </row>
    <row r="42" spans="1:5" x14ac:dyDescent="0.25">
      <c r="A42" s="10" t="s">
        <v>61</v>
      </c>
      <c r="B42" s="10">
        <v>41976933718</v>
      </c>
      <c r="C42" s="11" t="s">
        <v>62</v>
      </c>
      <c r="D42" s="12" t="s">
        <v>41</v>
      </c>
      <c r="E42" s="13">
        <v>239.41</v>
      </c>
    </row>
    <row r="43" spans="1:5" x14ac:dyDescent="0.25">
      <c r="A43" s="10" t="s">
        <v>65</v>
      </c>
      <c r="B43" s="10">
        <v>63074697345</v>
      </c>
      <c r="C43" s="11" t="s">
        <v>45</v>
      </c>
      <c r="D43" s="12" t="s">
        <v>41</v>
      </c>
      <c r="E43" s="13">
        <v>446.54</v>
      </c>
    </row>
    <row r="44" spans="1:5" x14ac:dyDescent="0.25">
      <c r="A44" s="23" t="s">
        <v>72</v>
      </c>
      <c r="B44" s="35" t="s">
        <v>86</v>
      </c>
      <c r="C44" s="24" t="s">
        <v>11</v>
      </c>
      <c r="D44" s="12" t="s">
        <v>41</v>
      </c>
      <c r="E44" s="13">
        <f>63.75+297.7</f>
        <v>361.45</v>
      </c>
    </row>
    <row r="45" spans="1:5" x14ac:dyDescent="0.25">
      <c r="A45" s="16" t="s">
        <v>26</v>
      </c>
      <c r="B45" s="16"/>
      <c r="C45" s="17"/>
      <c r="D45" s="17"/>
      <c r="E45" s="18">
        <f>SUM(E8:E44)</f>
        <v>107677.55000000002</v>
      </c>
    </row>
    <row r="46" spans="1:5" x14ac:dyDescent="0.25">
      <c r="A46" s="46"/>
      <c r="B46" s="46"/>
      <c r="C46" s="46"/>
      <c r="D46" s="46"/>
      <c r="E46" s="46"/>
    </row>
    <row r="47" spans="1:5" x14ac:dyDescent="0.25">
      <c r="A47" s="41" t="s">
        <v>117</v>
      </c>
      <c r="B47" s="46"/>
      <c r="C47" s="46"/>
      <c r="D47" s="46"/>
      <c r="E47" s="46"/>
    </row>
  </sheetData>
  <mergeCells count="6">
    <mergeCell ref="A5:E5"/>
    <mergeCell ref="A1:E1"/>
    <mergeCell ref="A2:B2"/>
    <mergeCell ref="D2:E2"/>
    <mergeCell ref="A3:B3"/>
    <mergeCell ref="D3:E3"/>
  </mergeCells>
  <conditionalFormatting sqref="D14 A40:D45 A32:C34">
    <cfRule type="expression" dxfId="285" priority="2">
      <formula>MOD(ROW(),2)=0</formula>
    </cfRule>
  </conditionalFormatting>
  <conditionalFormatting sqref="A16:D16 A39:C39 A35:D38">
    <cfRule type="expression" dxfId="284" priority="3">
      <formula>MOD(ROW(),2)=0</formula>
    </cfRule>
  </conditionalFormatting>
  <conditionalFormatting sqref="E17:E30 E38:E45">
    <cfRule type="expression" dxfId="283" priority="4">
      <formula>MOD(ROW(),2)=0</formula>
    </cfRule>
  </conditionalFormatting>
  <conditionalFormatting sqref="E17:E30 E38:E45">
    <cfRule type="expression" dxfId="282" priority="5">
      <formula>MOD(ROW(),2)=1</formula>
    </cfRule>
  </conditionalFormatting>
  <conditionalFormatting sqref="A8:D8 A24:A29 D22 A30:D31 A10:D10 A17:A21 C17:D21 C24:D29">
    <cfRule type="expression" dxfId="281" priority="19">
      <formula>MOD(ROW(),2)=0</formula>
    </cfRule>
  </conditionalFormatting>
  <conditionalFormatting sqref="E8 E34 E10">
    <cfRule type="expression" dxfId="280" priority="20">
      <formula>MOD(ROW(),2)=0</formula>
    </cfRule>
  </conditionalFormatting>
  <conditionalFormatting sqref="E8 E34 E10">
    <cfRule type="expression" dxfId="279" priority="21">
      <formula>MOD(ROW(),2)=1</formula>
    </cfRule>
  </conditionalFormatting>
  <conditionalFormatting sqref="E31:E33">
    <cfRule type="expression" dxfId="278" priority="22">
      <formula>MOD(ROW(),2)=0</formula>
    </cfRule>
  </conditionalFormatting>
  <conditionalFormatting sqref="E31:E33">
    <cfRule type="expression" dxfId="277" priority="23">
      <formula>MOD(ROW(),2)=1</formula>
    </cfRule>
  </conditionalFormatting>
  <conditionalFormatting sqref="E35:E37">
    <cfRule type="expression" dxfId="276" priority="24">
      <formula>MOD(ROW(),2)=0</formula>
    </cfRule>
  </conditionalFormatting>
  <conditionalFormatting sqref="E35:E37">
    <cfRule type="expression" dxfId="275" priority="25">
      <formula>MOD(ROW(),2)=1</formula>
    </cfRule>
  </conditionalFormatting>
  <conditionalFormatting sqref="A22 C22">
    <cfRule type="expression" dxfId="274" priority="26">
      <formula>MOD(ROW(),2)=0</formula>
    </cfRule>
  </conditionalFormatting>
  <conditionalFormatting sqref="A13:D13 A15:D15 A14:C14">
    <cfRule type="expression" dxfId="273" priority="27">
      <formula>MOD(ROW(),2)=0</formula>
    </cfRule>
  </conditionalFormatting>
  <conditionalFormatting sqref="E13:E15">
    <cfRule type="expression" dxfId="272" priority="28">
      <formula>MOD(ROW(),2)=0</formula>
    </cfRule>
  </conditionalFormatting>
  <conditionalFormatting sqref="E13:E15">
    <cfRule type="expression" dxfId="271" priority="29">
      <formula>MOD(ROW(),2)=1</formula>
    </cfRule>
  </conditionalFormatting>
  <conditionalFormatting sqref="D32">
    <cfRule type="expression" dxfId="270" priority="30">
      <formula>MOD(ROW(),2)=0</formula>
    </cfRule>
  </conditionalFormatting>
  <conditionalFormatting sqref="A23 C23">
    <cfRule type="expression" dxfId="269" priority="18">
      <formula>MOD(ROW(),2)=0</formula>
    </cfRule>
  </conditionalFormatting>
  <conditionalFormatting sqref="D23">
    <cfRule type="expression" dxfId="268" priority="17">
      <formula>MOD(ROW(),2)=0</formula>
    </cfRule>
  </conditionalFormatting>
  <conditionalFormatting sqref="D33">
    <cfRule type="expression" dxfId="267" priority="16">
      <formula>MOD(ROW(),2)=0</formula>
    </cfRule>
  </conditionalFormatting>
  <conditionalFormatting sqref="D34">
    <cfRule type="expression" dxfId="266" priority="15">
      <formula>MOD(ROW(),2)=0</formula>
    </cfRule>
  </conditionalFormatting>
  <conditionalFormatting sqref="A9:D9">
    <cfRule type="expression" dxfId="265" priority="12">
      <formula>MOD(ROW(),2)=0</formula>
    </cfRule>
  </conditionalFormatting>
  <conditionalFormatting sqref="A12:D12">
    <cfRule type="expression" dxfId="264" priority="9">
      <formula>MOD(ROW(),2)=0</formula>
    </cfRule>
  </conditionalFormatting>
  <conditionalFormatting sqref="E9">
    <cfRule type="expression" dxfId="263" priority="13">
      <formula>MOD(ROW(),2)=0</formula>
    </cfRule>
  </conditionalFormatting>
  <conditionalFormatting sqref="E9">
    <cfRule type="expression" dxfId="262" priority="14">
      <formula>MOD(ROW(),2)=1</formula>
    </cfRule>
  </conditionalFormatting>
  <conditionalFormatting sqref="E12">
    <cfRule type="expression" dxfId="261" priority="10">
      <formula>MOD(ROW(),2)=0</formula>
    </cfRule>
  </conditionalFormatting>
  <conditionalFormatting sqref="E12">
    <cfRule type="expression" dxfId="260" priority="11">
      <formula>MOD(ROW(),2)=1</formula>
    </cfRule>
  </conditionalFormatting>
  <conditionalFormatting sqref="A11 C11:D11">
    <cfRule type="expression" dxfId="259" priority="6">
      <formula>MOD(ROW(),2)=0</formula>
    </cfRule>
  </conditionalFormatting>
  <conditionalFormatting sqref="E11">
    <cfRule type="expression" dxfId="258" priority="7">
      <formula>MOD(ROW(),2)=0</formula>
    </cfRule>
  </conditionalFormatting>
  <conditionalFormatting sqref="E11">
    <cfRule type="expression" dxfId="257" priority="8">
      <formula>MOD(ROW(),2)=1</formula>
    </cfRule>
  </conditionalFormatting>
  <conditionalFormatting sqref="E16">
    <cfRule type="expression" dxfId="256" priority="31">
      <formula>MOD(ROW(),2)=0</formula>
    </cfRule>
  </conditionalFormatting>
  <conditionalFormatting sqref="E16">
    <cfRule type="expression" dxfId="255" priority="32">
      <formula>MOD(ROW(),2)=1</formula>
    </cfRule>
  </conditionalFormatting>
  <conditionalFormatting sqref="D39">
    <cfRule type="expression" dxfId="25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A5844-A473-412E-AD05-8C8E6DB68EBD}">
  <sheetPr>
    <tabColor rgb="FFFFFF00"/>
  </sheetPr>
  <dimension ref="A1:E55"/>
  <sheetViews>
    <sheetView topLeftCell="A31" workbookViewId="0">
      <selection activeCell="E52" sqref="E52"/>
    </sheetView>
  </sheetViews>
  <sheetFormatPr defaultRowHeight="15" x14ac:dyDescent="0.25"/>
  <cols>
    <col min="1" max="1" width="41.42578125" customWidth="1"/>
    <col min="2" max="2" width="18.7109375" customWidth="1"/>
    <col min="3" max="3" width="22.42578125" customWidth="1"/>
    <col min="4" max="4" width="30.42578125" customWidth="1"/>
    <col min="5" max="5" width="17" customWidth="1"/>
  </cols>
  <sheetData>
    <row r="1" spans="1:5" ht="72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ht="25.5" customHeight="1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30" customHeight="1" x14ac:dyDescent="0.25">
      <c r="A4" s="47" t="s">
        <v>118</v>
      </c>
      <c r="B4" s="6"/>
      <c r="C4" s="6"/>
      <c r="D4" s="6"/>
      <c r="E4" s="6"/>
    </row>
    <row r="5" spans="1:5" ht="15.75" x14ac:dyDescent="0.25">
      <c r="A5" s="65" t="s">
        <v>1</v>
      </c>
      <c r="B5" s="66"/>
      <c r="C5" s="66"/>
      <c r="D5" s="66"/>
      <c r="E5" s="66"/>
    </row>
    <row r="6" spans="1:5" x14ac:dyDescent="0.25">
      <c r="A6" s="48"/>
      <c r="B6" s="48"/>
      <c r="C6" s="48"/>
      <c r="D6" s="48"/>
      <c r="E6" s="48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1050+76948.71</f>
        <v>77998.710000000006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2148.33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947.41+84.57+80.66</f>
        <v>1112.6400000000001</v>
      </c>
    </row>
    <row r="11" spans="1:5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53.09+600</f>
        <v>653.09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173.26+13234.64</f>
        <v>13407.9</v>
      </c>
    </row>
    <row r="13" spans="1:5" ht="45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2005.35</v>
      </c>
    </row>
    <row r="14" spans="1:5" x14ac:dyDescent="0.25">
      <c r="A14" s="35" t="s">
        <v>121</v>
      </c>
      <c r="B14" s="23">
        <v>45594774168</v>
      </c>
      <c r="C14" s="24" t="s">
        <v>45</v>
      </c>
      <c r="D14" s="12" t="s">
        <v>52</v>
      </c>
      <c r="E14" s="13">
        <v>5.39</v>
      </c>
    </row>
    <row r="15" spans="1:5" x14ac:dyDescent="0.25">
      <c r="A15" s="23" t="s">
        <v>7</v>
      </c>
      <c r="B15" s="23"/>
      <c r="C15" s="24"/>
      <c r="D15" s="25" t="s">
        <v>71</v>
      </c>
      <c r="E15" s="13">
        <f>977.5+27.99</f>
        <v>1005.49</v>
      </c>
    </row>
    <row r="16" spans="1:5" ht="30" x14ac:dyDescent="0.25">
      <c r="A16" s="10" t="s">
        <v>7</v>
      </c>
      <c r="B16" s="10"/>
      <c r="C16" s="11"/>
      <c r="D16" s="12" t="s">
        <v>66</v>
      </c>
      <c r="E16" s="13">
        <v>106.25</v>
      </c>
    </row>
    <row r="17" spans="1:5" x14ac:dyDescent="0.25">
      <c r="A17" s="10" t="s">
        <v>10</v>
      </c>
      <c r="B17" s="30">
        <v>18683136487</v>
      </c>
      <c r="C17" s="11" t="s">
        <v>11</v>
      </c>
      <c r="D17" s="12" t="s">
        <v>38</v>
      </c>
      <c r="E17" s="13">
        <v>336</v>
      </c>
    </row>
    <row r="18" spans="1:5" x14ac:dyDescent="0.25">
      <c r="A18" s="10" t="s">
        <v>39</v>
      </c>
      <c r="B18" s="29">
        <v>44138062462</v>
      </c>
      <c r="C18" s="11" t="s">
        <v>40</v>
      </c>
      <c r="D18" s="12" t="s">
        <v>41</v>
      </c>
      <c r="E18" s="13">
        <f>281.4+160+310.94+318.98+146.21+137.23+312.3+289.64+80.79+135.88</f>
        <v>2173.37</v>
      </c>
    </row>
    <row r="19" spans="1:5" ht="30" x14ac:dyDescent="0.25">
      <c r="A19" s="23" t="s">
        <v>78</v>
      </c>
      <c r="B19" s="23">
        <v>68419124305</v>
      </c>
      <c r="C19" s="24" t="s">
        <v>11</v>
      </c>
      <c r="D19" s="25" t="s">
        <v>79</v>
      </c>
      <c r="E19" s="13">
        <v>10.62</v>
      </c>
    </row>
    <row r="20" spans="1:5" ht="30" x14ac:dyDescent="0.25">
      <c r="A20" s="10" t="s">
        <v>88</v>
      </c>
      <c r="B20" s="29">
        <v>71559085353</v>
      </c>
      <c r="C20" s="11" t="s">
        <v>89</v>
      </c>
      <c r="D20" s="12" t="s">
        <v>123</v>
      </c>
      <c r="E20" s="13">
        <v>465.25</v>
      </c>
    </row>
    <row r="21" spans="1:5" ht="30" x14ac:dyDescent="0.25">
      <c r="A21" s="10" t="s">
        <v>17</v>
      </c>
      <c r="B21" s="29">
        <v>81793146560</v>
      </c>
      <c r="C21" s="11" t="s">
        <v>11</v>
      </c>
      <c r="D21" s="12" t="s">
        <v>16</v>
      </c>
      <c r="E21" s="13">
        <f>23.49+49.25</f>
        <v>72.739999999999995</v>
      </c>
    </row>
    <row r="22" spans="1:5" x14ac:dyDescent="0.25">
      <c r="A22" s="10" t="s">
        <v>17</v>
      </c>
      <c r="B22" s="29">
        <v>81793146560</v>
      </c>
      <c r="C22" s="11" t="s">
        <v>11</v>
      </c>
      <c r="D22" s="12" t="s">
        <v>50</v>
      </c>
      <c r="E22" s="13">
        <f>0.04+0.02</f>
        <v>0.06</v>
      </c>
    </row>
    <row r="23" spans="1:5" ht="30" x14ac:dyDescent="0.25">
      <c r="A23" s="36" t="s">
        <v>107</v>
      </c>
      <c r="B23" s="10">
        <v>35321872873</v>
      </c>
      <c r="C23" s="37" t="s">
        <v>57</v>
      </c>
      <c r="D23" s="12" t="s">
        <v>24</v>
      </c>
      <c r="E23" s="13">
        <v>3.5</v>
      </c>
    </row>
    <row r="24" spans="1:5" s="48" customFormat="1" ht="30" x14ac:dyDescent="0.25">
      <c r="A24" s="36" t="s">
        <v>107</v>
      </c>
      <c r="B24" s="10">
        <v>35321872873</v>
      </c>
      <c r="C24" s="37" t="s">
        <v>57</v>
      </c>
      <c r="D24" s="25" t="s">
        <v>58</v>
      </c>
      <c r="E24" s="13">
        <v>115.8</v>
      </c>
    </row>
    <row r="25" spans="1:5" s="48" customFormat="1" ht="30" x14ac:dyDescent="0.25">
      <c r="A25" s="36" t="s">
        <v>107</v>
      </c>
      <c r="B25" s="10">
        <v>35321872873</v>
      </c>
      <c r="C25" s="37" t="s">
        <v>57</v>
      </c>
      <c r="D25" s="25" t="s">
        <v>122</v>
      </c>
      <c r="E25" s="13">
        <v>94.65</v>
      </c>
    </row>
    <row r="26" spans="1:5" ht="30" x14ac:dyDescent="0.25">
      <c r="A26" s="35" t="s">
        <v>99</v>
      </c>
      <c r="B26" s="23">
        <v>96169540207</v>
      </c>
      <c r="C26" s="33" t="s">
        <v>11</v>
      </c>
      <c r="D26" s="12" t="s">
        <v>58</v>
      </c>
      <c r="E26" s="13">
        <v>695.8</v>
      </c>
    </row>
    <row r="27" spans="1:5" x14ac:dyDescent="0.25">
      <c r="A27" s="23" t="s">
        <v>47</v>
      </c>
      <c r="B27" s="23">
        <v>43965974818</v>
      </c>
      <c r="C27" s="24" t="s">
        <v>11</v>
      </c>
      <c r="D27" s="11" t="s">
        <v>19</v>
      </c>
      <c r="E27" s="13">
        <f>5.7+6.26+2.85</f>
        <v>14.81</v>
      </c>
    </row>
    <row r="28" spans="1:5" x14ac:dyDescent="0.25">
      <c r="A28" s="10" t="s">
        <v>18</v>
      </c>
      <c r="B28" s="29">
        <v>63073332379</v>
      </c>
      <c r="C28" s="11" t="s">
        <v>11</v>
      </c>
      <c r="D28" s="11" t="s">
        <v>19</v>
      </c>
      <c r="E28" s="13">
        <v>450.61</v>
      </c>
    </row>
    <row r="29" spans="1:5" x14ac:dyDescent="0.25">
      <c r="A29" s="10" t="s">
        <v>20</v>
      </c>
      <c r="B29" s="10">
        <v>85821130368</v>
      </c>
      <c r="C29" s="11" t="s">
        <v>11</v>
      </c>
      <c r="D29" s="11" t="s">
        <v>21</v>
      </c>
      <c r="E29" s="13">
        <v>1.66</v>
      </c>
    </row>
    <row r="30" spans="1:5" x14ac:dyDescent="0.25">
      <c r="A30" s="10" t="s">
        <v>22</v>
      </c>
      <c r="B30" s="29">
        <v>41317489366</v>
      </c>
      <c r="C30" s="11" t="s">
        <v>23</v>
      </c>
      <c r="D30" s="11" t="s">
        <v>19</v>
      </c>
      <c r="E30" s="13">
        <f>780.37+9.32</f>
        <v>789.69</v>
      </c>
    </row>
    <row r="31" spans="1:5" x14ac:dyDescent="0.25">
      <c r="A31" s="10" t="s">
        <v>48</v>
      </c>
      <c r="B31" s="10">
        <v>97575612726</v>
      </c>
      <c r="C31" s="11" t="s">
        <v>45</v>
      </c>
      <c r="D31" s="12" t="s">
        <v>13</v>
      </c>
      <c r="E31" s="13">
        <f>11.24+11.96+11.96+11.96+86.24</f>
        <v>133.36000000000001</v>
      </c>
    </row>
    <row r="32" spans="1:5" x14ac:dyDescent="0.25">
      <c r="A32" s="10" t="s">
        <v>49</v>
      </c>
      <c r="B32" s="10">
        <v>71442681806</v>
      </c>
      <c r="C32" s="11" t="s">
        <v>45</v>
      </c>
      <c r="D32" s="12" t="s">
        <v>13</v>
      </c>
      <c r="E32" s="13">
        <f>7.8+5.54+55.51+28.68</f>
        <v>97.53</v>
      </c>
    </row>
    <row r="33" spans="1:5" x14ac:dyDescent="0.25">
      <c r="A33" s="10" t="s">
        <v>49</v>
      </c>
      <c r="B33" s="10">
        <v>71442681806</v>
      </c>
      <c r="C33" s="11" t="s">
        <v>45</v>
      </c>
      <c r="D33" s="12" t="s">
        <v>50</v>
      </c>
      <c r="E33" s="13">
        <f>0.06+0.09</f>
        <v>0.15</v>
      </c>
    </row>
    <row r="34" spans="1:5" ht="30" x14ac:dyDescent="0.25">
      <c r="A34" s="10" t="s">
        <v>14</v>
      </c>
      <c r="B34" s="10">
        <v>87311810356</v>
      </c>
      <c r="C34" s="11" t="s">
        <v>15</v>
      </c>
      <c r="D34" s="12" t="s">
        <v>16</v>
      </c>
      <c r="E34" s="13">
        <f>9.06+8.1</f>
        <v>17.16</v>
      </c>
    </row>
    <row r="35" spans="1:5" x14ac:dyDescent="0.25">
      <c r="A35" s="10" t="s">
        <v>73</v>
      </c>
      <c r="B35" s="10">
        <v>27332507825</v>
      </c>
      <c r="C35" s="11" t="s">
        <v>74</v>
      </c>
      <c r="D35" s="12" t="s">
        <v>75</v>
      </c>
      <c r="E35" s="13">
        <v>62.5</v>
      </c>
    </row>
    <row r="36" spans="1:5" ht="30" x14ac:dyDescent="0.25">
      <c r="A36" s="10" t="s">
        <v>54</v>
      </c>
      <c r="B36" s="10">
        <v>47414897452</v>
      </c>
      <c r="C36" s="11" t="s">
        <v>55</v>
      </c>
      <c r="D36" s="12" t="s">
        <v>24</v>
      </c>
      <c r="E36" s="13">
        <v>12.28</v>
      </c>
    </row>
    <row r="37" spans="1:5" x14ac:dyDescent="0.25">
      <c r="A37" s="10" t="s">
        <v>54</v>
      </c>
      <c r="B37" s="10">
        <v>47414897452</v>
      </c>
      <c r="C37" s="11" t="s">
        <v>55</v>
      </c>
      <c r="D37" s="12" t="s">
        <v>41</v>
      </c>
      <c r="E37" s="13">
        <v>167.09</v>
      </c>
    </row>
    <row r="38" spans="1:5" x14ac:dyDescent="0.25">
      <c r="A38" s="35" t="s">
        <v>63</v>
      </c>
      <c r="B38" s="23">
        <v>18928523252</v>
      </c>
      <c r="C38" s="33" t="s">
        <v>64</v>
      </c>
      <c r="D38" s="12" t="s">
        <v>41</v>
      </c>
      <c r="E38" s="13">
        <f>77.24+149.11+75.98+225.39</f>
        <v>527.72</v>
      </c>
    </row>
    <row r="39" spans="1:5" ht="30" x14ac:dyDescent="0.25">
      <c r="A39" s="36" t="s">
        <v>87</v>
      </c>
      <c r="B39" s="10"/>
      <c r="C39" s="37"/>
      <c r="D39" s="12" t="s">
        <v>24</v>
      </c>
      <c r="E39" s="13">
        <v>265.89</v>
      </c>
    </row>
    <row r="40" spans="1:5" x14ac:dyDescent="0.25">
      <c r="A40" s="35" t="s">
        <v>116</v>
      </c>
      <c r="B40" s="23">
        <v>75550985023</v>
      </c>
      <c r="C40" s="33" t="s">
        <v>11</v>
      </c>
      <c r="D40" s="11" t="s">
        <v>19</v>
      </c>
      <c r="E40" s="13">
        <v>109.2</v>
      </c>
    </row>
    <row r="41" spans="1:5" x14ac:dyDescent="0.25">
      <c r="A41" s="36" t="s">
        <v>119</v>
      </c>
      <c r="B41" s="10">
        <v>37324171729</v>
      </c>
      <c r="C41" s="37" t="s">
        <v>120</v>
      </c>
      <c r="D41" s="25" t="s">
        <v>71</v>
      </c>
      <c r="E41" s="13">
        <v>118</v>
      </c>
    </row>
    <row r="42" spans="1:5" x14ac:dyDescent="0.25">
      <c r="A42" s="10" t="s">
        <v>60</v>
      </c>
      <c r="B42" s="10">
        <v>43238257395</v>
      </c>
      <c r="C42" s="11" t="s">
        <v>45</v>
      </c>
      <c r="D42" s="12" t="s">
        <v>41</v>
      </c>
      <c r="E42" s="13">
        <f>332.34+490.13</f>
        <v>822.47</v>
      </c>
    </row>
    <row r="43" spans="1:5" x14ac:dyDescent="0.25">
      <c r="A43" s="10" t="s">
        <v>61</v>
      </c>
      <c r="B43" s="10">
        <v>41976933718</v>
      </c>
      <c r="C43" s="11" t="s">
        <v>62</v>
      </c>
      <c r="D43" s="12" t="s">
        <v>41</v>
      </c>
      <c r="E43" s="13">
        <v>339.56</v>
      </c>
    </row>
    <row r="44" spans="1:5" x14ac:dyDescent="0.25">
      <c r="A44" s="10" t="s">
        <v>65</v>
      </c>
      <c r="B44" s="10">
        <v>63074697345</v>
      </c>
      <c r="C44" s="11" t="s">
        <v>45</v>
      </c>
      <c r="D44" s="12" t="s">
        <v>41</v>
      </c>
      <c r="E44" s="13">
        <v>558.08000000000004</v>
      </c>
    </row>
    <row r="45" spans="1:5" x14ac:dyDescent="0.25">
      <c r="A45" s="23" t="s">
        <v>72</v>
      </c>
      <c r="B45" s="35" t="s">
        <v>86</v>
      </c>
      <c r="C45" s="24" t="s">
        <v>11</v>
      </c>
      <c r="D45" s="12" t="s">
        <v>41</v>
      </c>
      <c r="E45" s="13">
        <f>100.58+82+181.5+65.38</f>
        <v>429.46</v>
      </c>
    </row>
    <row r="46" spans="1:5" s="48" customFormat="1" x14ac:dyDescent="0.25">
      <c r="A46" s="23" t="s">
        <v>124</v>
      </c>
      <c r="B46" s="35"/>
      <c r="C46" s="24"/>
      <c r="D46" s="25" t="s">
        <v>71</v>
      </c>
      <c r="E46" s="13">
        <v>350</v>
      </c>
    </row>
    <row r="47" spans="1:5" s="48" customFormat="1" x14ac:dyDescent="0.25">
      <c r="A47" s="23" t="s">
        <v>91</v>
      </c>
      <c r="B47" s="35">
        <v>96591335948</v>
      </c>
      <c r="C47" s="24" t="s">
        <v>45</v>
      </c>
      <c r="D47" s="25" t="s">
        <v>13</v>
      </c>
      <c r="E47" s="13">
        <v>28.5</v>
      </c>
    </row>
    <row r="48" spans="1:5" s="48" customFormat="1" ht="30" x14ac:dyDescent="0.25">
      <c r="A48" s="23" t="s">
        <v>125</v>
      </c>
      <c r="B48" s="35" t="s">
        <v>126</v>
      </c>
      <c r="C48" s="24" t="s">
        <v>45</v>
      </c>
      <c r="D48" s="25" t="s">
        <v>110</v>
      </c>
      <c r="E48" s="13">
        <v>88.04</v>
      </c>
    </row>
    <row r="49" spans="1:5" s="48" customFormat="1" ht="30" x14ac:dyDescent="0.25">
      <c r="A49" s="23" t="s">
        <v>108</v>
      </c>
      <c r="B49" s="35">
        <v>14861822643</v>
      </c>
      <c r="C49" s="24" t="s">
        <v>109</v>
      </c>
      <c r="D49" s="25" t="s">
        <v>110</v>
      </c>
      <c r="E49" s="13">
        <v>212.5</v>
      </c>
    </row>
    <row r="50" spans="1:5" s="48" customFormat="1" x14ac:dyDescent="0.25">
      <c r="A50" s="23" t="s">
        <v>127</v>
      </c>
      <c r="B50" s="35">
        <v>25823292144</v>
      </c>
      <c r="C50" s="24" t="s">
        <v>45</v>
      </c>
      <c r="D50" s="25" t="s">
        <v>52</v>
      </c>
      <c r="E50" s="13">
        <v>220.63</v>
      </c>
    </row>
    <row r="51" spans="1:5" s="48" customFormat="1" ht="30" x14ac:dyDescent="0.25">
      <c r="A51" s="23" t="s">
        <v>128</v>
      </c>
      <c r="B51" s="35">
        <v>46756708256</v>
      </c>
      <c r="C51" s="24" t="s">
        <v>11</v>
      </c>
      <c r="D51" s="25" t="s">
        <v>24</v>
      </c>
      <c r="E51" s="13">
        <v>53.03</v>
      </c>
    </row>
    <row r="52" spans="1:5" s="48" customFormat="1" ht="30" x14ac:dyDescent="0.25">
      <c r="A52" s="23" t="s">
        <v>129</v>
      </c>
      <c r="B52" s="35">
        <v>21523879111</v>
      </c>
      <c r="C52" s="24" t="s">
        <v>101</v>
      </c>
      <c r="D52" s="25" t="s">
        <v>58</v>
      </c>
      <c r="E52" s="13">
        <f>76.91+9.9</f>
        <v>86.81</v>
      </c>
    </row>
    <row r="53" spans="1:5" x14ac:dyDescent="0.25">
      <c r="A53" s="16" t="s">
        <v>26</v>
      </c>
      <c r="B53" s="16"/>
      <c r="C53" s="17"/>
      <c r="D53" s="17"/>
      <c r="E53" s="18">
        <f>SUM(E8:E52)</f>
        <v>108367.67</v>
      </c>
    </row>
    <row r="54" spans="1:5" x14ac:dyDescent="0.25">
      <c r="A54" s="48"/>
      <c r="B54" s="48"/>
      <c r="C54" s="48"/>
      <c r="D54" s="48"/>
      <c r="E54" s="48"/>
    </row>
    <row r="55" spans="1:5" x14ac:dyDescent="0.25">
      <c r="A55" s="41" t="s">
        <v>130</v>
      </c>
      <c r="B55" s="48"/>
      <c r="C55" s="48"/>
      <c r="D55" s="48"/>
      <c r="E55" s="48"/>
    </row>
  </sheetData>
  <mergeCells count="6">
    <mergeCell ref="A5:E5"/>
    <mergeCell ref="A1:E1"/>
    <mergeCell ref="A2:B2"/>
    <mergeCell ref="D2:E2"/>
    <mergeCell ref="A3:B3"/>
    <mergeCell ref="D3:E3"/>
  </mergeCells>
  <conditionalFormatting sqref="D41 A17:A20 C17:D20">
    <cfRule type="expression" dxfId="253" priority="5">
      <formula>MOD(ROW(),2)=0</formula>
    </cfRule>
  </conditionalFormatting>
  <conditionalFormatting sqref="A25 C25">
    <cfRule type="expression" dxfId="252" priority="3">
      <formula>MOD(ROW(),2)=0</formula>
    </cfRule>
  </conditionalFormatting>
  <conditionalFormatting sqref="E17:E31">
    <cfRule type="expression" dxfId="251" priority="1">
      <formula>MOD(ROW(),2)=0</formula>
    </cfRule>
  </conditionalFormatting>
  <conditionalFormatting sqref="E17:E31">
    <cfRule type="expression" dxfId="250" priority="6">
      <formula>MOD(ROW(),2)=1</formula>
    </cfRule>
  </conditionalFormatting>
  <conditionalFormatting sqref="A24 C24">
    <cfRule type="expression" dxfId="249" priority="7">
      <formula>MOD(ROW(),2)=0</formula>
    </cfRule>
  </conditionalFormatting>
  <conditionalFormatting sqref="D14 A33:C35 A41:C41 A42:D53">
    <cfRule type="expression" dxfId="248" priority="8">
      <formula>MOD(ROW(),2)=0</formula>
    </cfRule>
  </conditionalFormatting>
  <conditionalFormatting sqref="A16:D16 A40:C40 A36:D39">
    <cfRule type="expression" dxfId="247" priority="9">
      <formula>MOD(ROW(),2)=0</formula>
    </cfRule>
  </conditionalFormatting>
  <conditionalFormatting sqref="E39:E53">
    <cfRule type="expression" dxfId="246" priority="10">
      <formula>MOD(ROW(),2)=0</formula>
    </cfRule>
  </conditionalFormatting>
  <conditionalFormatting sqref="E39:E53">
    <cfRule type="expression" dxfId="245" priority="11">
      <formula>MOD(ROW(),2)=1</formula>
    </cfRule>
  </conditionalFormatting>
  <conditionalFormatting sqref="A8:D8 A23 D21 A31:D32 A10:D10 C23:D23 C26:D30 A26:A30 D24:D25">
    <cfRule type="expression" dxfId="244" priority="24">
      <formula>MOD(ROW(),2)=0</formula>
    </cfRule>
  </conditionalFormatting>
  <conditionalFormatting sqref="E8 E35 E10">
    <cfRule type="expression" dxfId="243" priority="25">
      <formula>MOD(ROW(),2)=0</formula>
    </cfRule>
  </conditionalFormatting>
  <conditionalFormatting sqref="E8 E35 E10">
    <cfRule type="expression" dxfId="242" priority="26">
      <formula>MOD(ROW(),2)=1</formula>
    </cfRule>
  </conditionalFormatting>
  <conditionalFormatting sqref="E32:E34">
    <cfRule type="expression" dxfId="241" priority="27">
      <formula>MOD(ROW(),2)=0</formula>
    </cfRule>
  </conditionalFormatting>
  <conditionalFormatting sqref="E32:E34">
    <cfRule type="expression" dxfId="240" priority="28">
      <formula>MOD(ROW(),2)=1</formula>
    </cfRule>
  </conditionalFormatting>
  <conditionalFormatting sqref="E36:E38">
    <cfRule type="expression" dxfId="239" priority="29">
      <formula>MOD(ROW(),2)=0</formula>
    </cfRule>
  </conditionalFormatting>
  <conditionalFormatting sqref="E36:E38">
    <cfRule type="expression" dxfId="238" priority="30">
      <formula>MOD(ROW(),2)=1</formula>
    </cfRule>
  </conditionalFormatting>
  <conditionalFormatting sqref="A21 C21">
    <cfRule type="expression" dxfId="237" priority="31">
      <formula>MOD(ROW(),2)=0</formula>
    </cfRule>
  </conditionalFormatting>
  <conditionalFormatting sqref="A13:D13 A15:D15 A14:C14">
    <cfRule type="expression" dxfId="236" priority="32">
      <formula>MOD(ROW(),2)=0</formula>
    </cfRule>
  </conditionalFormatting>
  <conditionalFormatting sqref="E13:E15">
    <cfRule type="expression" dxfId="235" priority="33">
      <formula>MOD(ROW(),2)=0</formula>
    </cfRule>
  </conditionalFormatting>
  <conditionalFormatting sqref="E13:E15">
    <cfRule type="expression" dxfId="234" priority="34">
      <formula>MOD(ROW(),2)=1</formula>
    </cfRule>
  </conditionalFormatting>
  <conditionalFormatting sqref="D33">
    <cfRule type="expression" dxfId="233" priority="35">
      <formula>MOD(ROW(),2)=0</formula>
    </cfRule>
  </conditionalFormatting>
  <conditionalFormatting sqref="A22 C22">
    <cfRule type="expression" dxfId="232" priority="23">
      <formula>MOD(ROW(),2)=0</formula>
    </cfRule>
  </conditionalFormatting>
  <conditionalFormatting sqref="D22">
    <cfRule type="expression" dxfId="231" priority="22">
      <formula>MOD(ROW(),2)=0</formula>
    </cfRule>
  </conditionalFormatting>
  <conditionalFormatting sqref="D34">
    <cfRule type="expression" dxfId="230" priority="21">
      <formula>MOD(ROW(),2)=0</formula>
    </cfRule>
  </conditionalFormatting>
  <conditionalFormatting sqref="D35">
    <cfRule type="expression" dxfId="229" priority="20">
      <formula>MOD(ROW(),2)=0</formula>
    </cfRule>
  </conditionalFormatting>
  <conditionalFormatting sqref="A9:D9">
    <cfRule type="expression" dxfId="228" priority="17">
      <formula>MOD(ROW(),2)=0</formula>
    </cfRule>
  </conditionalFormatting>
  <conditionalFormatting sqref="A12:D12">
    <cfRule type="expression" dxfId="227" priority="14">
      <formula>MOD(ROW(),2)=0</formula>
    </cfRule>
  </conditionalFormatting>
  <conditionalFormatting sqref="E9">
    <cfRule type="expression" dxfId="226" priority="18">
      <formula>MOD(ROW(),2)=0</formula>
    </cfRule>
  </conditionalFormatting>
  <conditionalFormatting sqref="E9">
    <cfRule type="expression" dxfId="225" priority="19">
      <formula>MOD(ROW(),2)=1</formula>
    </cfRule>
  </conditionalFormatting>
  <conditionalFormatting sqref="E12">
    <cfRule type="expression" dxfId="224" priority="15">
      <formula>MOD(ROW(),2)=0</formula>
    </cfRule>
  </conditionalFormatting>
  <conditionalFormatting sqref="E12">
    <cfRule type="expression" dxfId="223" priority="16">
      <formula>MOD(ROW(),2)=1</formula>
    </cfRule>
  </conditionalFormatting>
  <conditionalFormatting sqref="A11 C11:D11">
    <cfRule type="expression" dxfId="222" priority="36">
      <formula>MOD(ROW(),2)=0</formula>
    </cfRule>
  </conditionalFormatting>
  <conditionalFormatting sqref="E11">
    <cfRule type="expression" dxfId="221" priority="12">
      <formula>MOD(ROW(),2)=0</formula>
    </cfRule>
  </conditionalFormatting>
  <conditionalFormatting sqref="E11">
    <cfRule type="expression" dxfId="220" priority="13">
      <formula>MOD(ROW(),2)=1</formula>
    </cfRule>
  </conditionalFormatting>
  <conditionalFormatting sqref="E16">
    <cfRule type="expression" dxfId="219" priority="37">
      <formula>MOD(ROW(),2)=0</formula>
    </cfRule>
  </conditionalFormatting>
  <conditionalFormatting sqref="E16">
    <cfRule type="expression" dxfId="218" priority="38">
      <formula>MOD(ROW(),2)=1</formula>
    </cfRule>
  </conditionalFormatting>
  <conditionalFormatting sqref="D40">
    <cfRule type="expression" dxfId="217" priority="39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1A6BB-C435-49A1-91B3-F620C628F1FC}">
  <sheetPr>
    <tabColor theme="5" tint="0.59999389629810485"/>
  </sheetPr>
  <dimension ref="A1:E66"/>
  <sheetViews>
    <sheetView topLeftCell="A40" workbookViewId="0">
      <selection activeCell="B52" sqref="B52"/>
    </sheetView>
  </sheetViews>
  <sheetFormatPr defaultRowHeight="15" x14ac:dyDescent="0.25"/>
  <cols>
    <col min="1" max="1" width="46" customWidth="1"/>
    <col min="2" max="2" width="18.7109375" customWidth="1"/>
    <col min="3" max="3" width="24.42578125" customWidth="1"/>
    <col min="4" max="4" width="30.42578125" customWidth="1"/>
    <col min="5" max="5" width="15.7109375" customWidth="1"/>
  </cols>
  <sheetData>
    <row r="1" spans="1:5" ht="73.5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25.5" customHeight="1" x14ac:dyDescent="0.25">
      <c r="A4" s="50" t="s">
        <v>131</v>
      </c>
      <c r="B4" s="6"/>
      <c r="C4" s="6"/>
      <c r="D4" s="6"/>
      <c r="E4" s="6"/>
    </row>
    <row r="5" spans="1:5" ht="31.5" customHeight="1" x14ac:dyDescent="0.25">
      <c r="A5" s="65" t="s">
        <v>1</v>
      </c>
      <c r="B5" s="66"/>
      <c r="C5" s="66"/>
      <c r="D5" s="66"/>
      <c r="E5" s="66"/>
    </row>
    <row r="6" spans="1:5" x14ac:dyDescent="0.25">
      <c r="A6" s="51"/>
      <c r="B6" s="51"/>
      <c r="C6" s="51"/>
      <c r="D6" s="51"/>
      <c r="E6" s="51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76734.46+1050</f>
        <v>77784.460000000006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4022.09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1213.52+106.88</f>
        <v>1320.4</v>
      </c>
    </row>
    <row r="11" spans="1:5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f>13500+441.44+600+53.09</f>
        <v>14594.53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13542.69+173.26</f>
        <v>13715.95</v>
      </c>
    </row>
    <row r="13" spans="1:5" ht="45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2196.23</v>
      </c>
    </row>
    <row r="14" spans="1:5" s="51" customFormat="1" ht="30" x14ac:dyDescent="0.25">
      <c r="A14" s="35" t="s">
        <v>121</v>
      </c>
      <c r="B14" s="23">
        <v>45594774168</v>
      </c>
      <c r="C14" s="24" t="s">
        <v>45</v>
      </c>
      <c r="D14" s="12" t="s">
        <v>24</v>
      </c>
      <c r="E14" s="13">
        <v>19.579999999999998</v>
      </c>
    </row>
    <row r="15" spans="1:5" x14ac:dyDescent="0.25">
      <c r="A15" s="35" t="s">
        <v>121</v>
      </c>
      <c r="B15" s="23">
        <v>45594774168</v>
      </c>
      <c r="C15" s="24" t="s">
        <v>45</v>
      </c>
      <c r="D15" s="12" t="s">
        <v>52</v>
      </c>
      <c r="E15" s="13">
        <f>9.6+25.96</f>
        <v>35.56</v>
      </c>
    </row>
    <row r="16" spans="1:5" x14ac:dyDescent="0.25">
      <c r="A16" s="23" t="s">
        <v>7</v>
      </c>
      <c r="B16" s="23"/>
      <c r="C16" s="24"/>
      <c r="D16" s="25" t="s">
        <v>71</v>
      </c>
      <c r="E16" s="13">
        <v>152.54</v>
      </c>
    </row>
    <row r="17" spans="1:5" ht="30" x14ac:dyDescent="0.25">
      <c r="A17" s="10" t="s">
        <v>7</v>
      </c>
      <c r="B17" s="10"/>
      <c r="C17" s="11"/>
      <c r="D17" s="12" t="s">
        <v>66</v>
      </c>
      <c r="E17" s="13">
        <v>39</v>
      </c>
    </row>
    <row r="18" spans="1:5" x14ac:dyDescent="0.25">
      <c r="A18" s="10" t="s">
        <v>10</v>
      </c>
      <c r="B18" s="30">
        <v>18683136487</v>
      </c>
      <c r="C18" s="11" t="s">
        <v>11</v>
      </c>
      <c r="D18" s="12" t="s">
        <v>38</v>
      </c>
      <c r="E18" s="13">
        <v>336</v>
      </c>
    </row>
    <row r="19" spans="1:5" x14ac:dyDescent="0.25">
      <c r="A19" s="10" t="s">
        <v>39</v>
      </c>
      <c r="B19" s="29">
        <v>44138062462</v>
      </c>
      <c r="C19" s="11" t="s">
        <v>40</v>
      </c>
      <c r="D19" s="12" t="s">
        <v>41</v>
      </c>
      <c r="E19" s="13"/>
    </row>
    <row r="20" spans="1:5" ht="30" x14ac:dyDescent="0.25">
      <c r="A20" s="23" t="s">
        <v>78</v>
      </c>
      <c r="B20" s="23">
        <v>68419124305</v>
      </c>
      <c r="C20" s="24" t="s">
        <v>11</v>
      </c>
      <c r="D20" s="25" t="s">
        <v>79</v>
      </c>
      <c r="E20" s="13">
        <v>10.62</v>
      </c>
    </row>
    <row r="21" spans="1:5" ht="30" x14ac:dyDescent="0.25">
      <c r="A21" s="10" t="s">
        <v>88</v>
      </c>
      <c r="B21" s="29">
        <v>71559085353</v>
      </c>
      <c r="C21" s="11" t="s">
        <v>89</v>
      </c>
      <c r="D21" s="12" t="s">
        <v>24</v>
      </c>
      <c r="E21" s="13">
        <f>108.2+38.06</f>
        <v>146.26</v>
      </c>
    </row>
    <row r="22" spans="1:5" ht="30" x14ac:dyDescent="0.25">
      <c r="A22" s="10" t="s">
        <v>17</v>
      </c>
      <c r="B22" s="29">
        <v>81793146560</v>
      </c>
      <c r="C22" s="11" t="s">
        <v>11</v>
      </c>
      <c r="D22" s="12" t="s">
        <v>16</v>
      </c>
      <c r="E22" s="13">
        <f>49.25+23.88</f>
        <v>73.13</v>
      </c>
    </row>
    <row r="23" spans="1:5" x14ac:dyDescent="0.25">
      <c r="A23" s="10" t="s">
        <v>17</v>
      </c>
      <c r="B23" s="29">
        <v>81793146560</v>
      </c>
      <c r="C23" s="11" t="s">
        <v>11</v>
      </c>
      <c r="D23" s="12" t="s">
        <v>50</v>
      </c>
      <c r="E23" s="13">
        <f>0.08+0.2</f>
        <v>0.28000000000000003</v>
      </c>
    </row>
    <row r="24" spans="1:5" ht="30" x14ac:dyDescent="0.25">
      <c r="A24" s="36" t="s">
        <v>107</v>
      </c>
      <c r="B24" s="10">
        <v>35321872873</v>
      </c>
      <c r="C24" s="37" t="s">
        <v>57</v>
      </c>
      <c r="D24" s="12" t="s">
        <v>24</v>
      </c>
      <c r="E24" s="13">
        <v>81.3</v>
      </c>
    </row>
    <row r="25" spans="1:5" ht="30" x14ac:dyDescent="0.25">
      <c r="A25" s="36" t="s">
        <v>140</v>
      </c>
      <c r="B25" s="10" t="s">
        <v>141</v>
      </c>
      <c r="C25" s="37" t="s">
        <v>11</v>
      </c>
      <c r="D25" s="12" t="s">
        <v>24</v>
      </c>
      <c r="E25" s="13">
        <v>331.75</v>
      </c>
    </row>
    <row r="26" spans="1:5" x14ac:dyDescent="0.25">
      <c r="A26" s="36" t="s">
        <v>107</v>
      </c>
      <c r="B26" s="10">
        <v>35321872873</v>
      </c>
      <c r="C26" s="37" t="s">
        <v>57</v>
      </c>
      <c r="D26" s="25" t="s">
        <v>52</v>
      </c>
      <c r="E26" s="13">
        <v>41.8</v>
      </c>
    </row>
    <row r="27" spans="1:5" ht="30" x14ac:dyDescent="0.25">
      <c r="A27" s="35" t="s">
        <v>25</v>
      </c>
      <c r="B27" s="23">
        <v>64546066176</v>
      </c>
      <c r="C27" s="33" t="s">
        <v>11</v>
      </c>
      <c r="D27" s="12" t="s">
        <v>24</v>
      </c>
      <c r="E27" s="13">
        <v>85.75</v>
      </c>
    </row>
    <row r="28" spans="1:5" x14ac:dyDescent="0.25">
      <c r="A28" s="23" t="s">
        <v>47</v>
      </c>
      <c r="B28" s="23">
        <v>43965974818</v>
      </c>
      <c r="C28" s="24" t="s">
        <v>11</v>
      </c>
      <c r="D28" s="11" t="s">
        <v>19</v>
      </c>
      <c r="E28" s="13">
        <f>2.99+3.42+2.85</f>
        <v>9.26</v>
      </c>
    </row>
    <row r="29" spans="1:5" x14ac:dyDescent="0.25">
      <c r="A29" s="10" t="s">
        <v>18</v>
      </c>
      <c r="B29" s="29">
        <v>63073332379</v>
      </c>
      <c r="C29" s="11" t="s">
        <v>11</v>
      </c>
      <c r="D29" s="11" t="s">
        <v>19</v>
      </c>
      <c r="E29" s="13">
        <v>329.73</v>
      </c>
    </row>
    <row r="30" spans="1:5" x14ac:dyDescent="0.25">
      <c r="A30" s="10" t="s">
        <v>20</v>
      </c>
      <c r="B30" s="10">
        <v>85821130368</v>
      </c>
      <c r="C30" s="11" t="s">
        <v>11</v>
      </c>
      <c r="D30" s="11" t="s">
        <v>21</v>
      </c>
      <c r="E30" s="13">
        <v>1.66</v>
      </c>
    </row>
    <row r="31" spans="1:5" x14ac:dyDescent="0.25">
      <c r="A31" s="10" t="s">
        <v>22</v>
      </c>
      <c r="B31" s="29">
        <v>41317489366</v>
      </c>
      <c r="C31" s="11" t="s">
        <v>23</v>
      </c>
      <c r="D31" s="11" t="s">
        <v>19</v>
      </c>
      <c r="E31" s="13">
        <f>217.19+11.28</f>
        <v>228.47</v>
      </c>
    </row>
    <row r="32" spans="1:5" x14ac:dyDescent="0.25">
      <c r="A32" s="10" t="s">
        <v>48</v>
      </c>
      <c r="B32" s="10">
        <v>97575612726</v>
      </c>
      <c r="C32" s="11" t="s">
        <v>45</v>
      </c>
      <c r="D32" s="12" t="s">
        <v>13</v>
      </c>
      <c r="E32" s="13">
        <f>11.96+11.96+11.96+11.96+104.23</f>
        <v>152.07</v>
      </c>
    </row>
    <row r="33" spans="1:5" x14ac:dyDescent="0.25">
      <c r="A33" s="10" t="s">
        <v>49</v>
      </c>
      <c r="B33" s="10">
        <v>71442681806</v>
      </c>
      <c r="C33" s="11" t="s">
        <v>45</v>
      </c>
      <c r="D33" s="12" t="s">
        <v>13</v>
      </c>
      <c r="E33" s="13">
        <f>7.8+31.66+73.41+5.54</f>
        <v>118.41000000000001</v>
      </c>
    </row>
    <row r="34" spans="1:5" x14ac:dyDescent="0.25">
      <c r="A34" s="10" t="s">
        <v>49</v>
      </c>
      <c r="B34" s="10">
        <v>71442681806</v>
      </c>
      <c r="C34" s="11" t="s">
        <v>45</v>
      </c>
      <c r="D34" s="12" t="s">
        <v>50</v>
      </c>
      <c r="E34" s="13">
        <f>0.02+0.23+0.12+0.02</f>
        <v>0.39</v>
      </c>
    </row>
    <row r="35" spans="1:5" ht="30" x14ac:dyDescent="0.25">
      <c r="A35" s="10" t="s">
        <v>14</v>
      </c>
      <c r="B35" s="10">
        <v>87311810356</v>
      </c>
      <c r="C35" s="11" t="s">
        <v>15</v>
      </c>
      <c r="D35" s="12" t="s">
        <v>16</v>
      </c>
      <c r="E35" s="13">
        <v>20.22</v>
      </c>
    </row>
    <row r="36" spans="1:5" x14ac:dyDescent="0.25">
      <c r="A36" s="10" t="s">
        <v>73</v>
      </c>
      <c r="B36" s="10">
        <v>27332507825</v>
      </c>
      <c r="C36" s="11" t="s">
        <v>74</v>
      </c>
      <c r="D36" s="12" t="s">
        <v>75</v>
      </c>
      <c r="E36" s="13">
        <v>62.5</v>
      </c>
    </row>
    <row r="37" spans="1:5" ht="30" x14ac:dyDescent="0.25">
      <c r="A37" s="10" t="s">
        <v>54</v>
      </c>
      <c r="B37" s="10">
        <v>47414897452</v>
      </c>
      <c r="C37" s="11" t="s">
        <v>55</v>
      </c>
      <c r="D37" s="12" t="s">
        <v>24</v>
      </c>
      <c r="E37" s="13">
        <v>20.9</v>
      </c>
    </row>
    <row r="38" spans="1:5" x14ac:dyDescent="0.25">
      <c r="A38" s="10" t="s">
        <v>54</v>
      </c>
      <c r="B38" s="10">
        <v>47414897452</v>
      </c>
      <c r="C38" s="11" t="s">
        <v>55</v>
      </c>
      <c r="D38" s="12" t="s">
        <v>41</v>
      </c>
      <c r="E38" s="13"/>
    </row>
    <row r="39" spans="1:5" s="51" customFormat="1" x14ac:dyDescent="0.25">
      <c r="A39" s="10" t="s">
        <v>54</v>
      </c>
      <c r="B39" s="10">
        <v>47414897452</v>
      </c>
      <c r="C39" s="11" t="s">
        <v>55</v>
      </c>
      <c r="D39" s="25" t="s">
        <v>139</v>
      </c>
      <c r="E39" s="13">
        <v>15.68</v>
      </c>
    </row>
    <row r="40" spans="1:5" x14ac:dyDescent="0.25">
      <c r="A40" s="35" t="s">
        <v>63</v>
      </c>
      <c r="B40" s="23">
        <v>18928523252</v>
      </c>
      <c r="C40" s="33" t="s">
        <v>64</v>
      </c>
      <c r="D40" s="12" t="s">
        <v>41</v>
      </c>
      <c r="E40" s="13"/>
    </row>
    <row r="41" spans="1:5" ht="30" x14ac:dyDescent="0.25">
      <c r="A41" s="36" t="s">
        <v>87</v>
      </c>
      <c r="B41" s="10"/>
      <c r="C41" s="37"/>
      <c r="D41" s="12" t="s">
        <v>24</v>
      </c>
      <c r="E41" s="13">
        <v>18.5</v>
      </c>
    </row>
    <row r="42" spans="1:5" x14ac:dyDescent="0.25">
      <c r="A42" s="35" t="s">
        <v>116</v>
      </c>
      <c r="B42" s="23">
        <v>75550985023</v>
      </c>
      <c r="C42" s="33" t="s">
        <v>11</v>
      </c>
      <c r="D42" s="11" t="s">
        <v>19</v>
      </c>
      <c r="E42" s="13"/>
    </row>
    <row r="43" spans="1:5" ht="30" x14ac:dyDescent="0.25">
      <c r="A43" s="36" t="s">
        <v>134</v>
      </c>
      <c r="B43" s="10"/>
      <c r="C43" s="37"/>
      <c r="D43" s="25" t="s">
        <v>27</v>
      </c>
      <c r="E43" s="13">
        <v>336</v>
      </c>
    </row>
    <row r="44" spans="1:5" x14ac:dyDescent="0.25">
      <c r="A44" s="10" t="s">
        <v>60</v>
      </c>
      <c r="B44" s="10">
        <v>43238257395</v>
      </c>
      <c r="C44" s="11" t="s">
        <v>45</v>
      </c>
      <c r="D44" s="12" t="s">
        <v>41</v>
      </c>
      <c r="E44" s="13"/>
    </row>
    <row r="45" spans="1:5" x14ac:dyDescent="0.25">
      <c r="A45" s="10" t="s">
        <v>61</v>
      </c>
      <c r="B45" s="10">
        <v>41976933718</v>
      </c>
      <c r="C45" s="11" t="s">
        <v>62</v>
      </c>
      <c r="D45" s="12" t="s">
        <v>41</v>
      </c>
      <c r="E45" s="13"/>
    </row>
    <row r="46" spans="1:5" x14ac:dyDescent="0.25">
      <c r="A46" s="10" t="s">
        <v>65</v>
      </c>
      <c r="B46" s="10">
        <v>63074697345</v>
      </c>
      <c r="C46" s="11" t="s">
        <v>45</v>
      </c>
      <c r="D46" s="12" t="s">
        <v>41</v>
      </c>
      <c r="E46" s="13"/>
    </row>
    <row r="47" spans="1:5" x14ac:dyDescent="0.25">
      <c r="A47" s="23" t="s">
        <v>72</v>
      </c>
      <c r="B47" s="35" t="s">
        <v>86</v>
      </c>
      <c r="C47" s="24" t="s">
        <v>11</v>
      </c>
      <c r="D47" s="12" t="s">
        <v>41</v>
      </c>
      <c r="E47" s="13"/>
    </row>
    <row r="48" spans="1:5" ht="30" x14ac:dyDescent="0.25">
      <c r="A48" s="23" t="s">
        <v>132</v>
      </c>
      <c r="B48" s="35">
        <v>1634935563</v>
      </c>
      <c r="C48" s="24" t="s">
        <v>93</v>
      </c>
      <c r="D48" s="12" t="s">
        <v>24</v>
      </c>
      <c r="E48" s="13">
        <v>28</v>
      </c>
    </row>
    <row r="49" spans="1:5" x14ac:dyDescent="0.25">
      <c r="A49" s="23" t="s">
        <v>91</v>
      </c>
      <c r="B49" s="35">
        <v>96591335948</v>
      </c>
      <c r="C49" s="24" t="s">
        <v>45</v>
      </c>
      <c r="D49" s="25" t="s">
        <v>13</v>
      </c>
      <c r="E49" s="13">
        <v>28.5</v>
      </c>
    </row>
    <row r="50" spans="1:5" x14ac:dyDescent="0.25">
      <c r="A50" s="23" t="s">
        <v>137</v>
      </c>
      <c r="B50" s="35"/>
      <c r="C50" s="24"/>
      <c r="D50" s="25" t="s">
        <v>52</v>
      </c>
      <c r="E50" s="13">
        <f>13.86+100</f>
        <v>113.86</v>
      </c>
    </row>
    <row r="51" spans="1:5" x14ac:dyDescent="0.25">
      <c r="A51" s="23" t="s">
        <v>138</v>
      </c>
      <c r="B51" s="35"/>
      <c r="C51" s="24"/>
      <c r="D51" s="25" t="s">
        <v>139</v>
      </c>
      <c r="E51" s="13">
        <v>1285.8</v>
      </c>
    </row>
    <row r="52" spans="1:5" x14ac:dyDescent="0.25">
      <c r="A52" s="23" t="s">
        <v>115</v>
      </c>
      <c r="B52" s="35">
        <v>74837079406</v>
      </c>
      <c r="C52" s="24" t="s">
        <v>55</v>
      </c>
      <c r="D52" s="25" t="s">
        <v>13</v>
      </c>
      <c r="E52" s="13">
        <v>405.03</v>
      </c>
    </row>
    <row r="53" spans="1:5" ht="30" x14ac:dyDescent="0.25">
      <c r="A53" s="23" t="s">
        <v>135</v>
      </c>
      <c r="B53" s="35">
        <v>23071028130</v>
      </c>
      <c r="C53" s="24" t="s">
        <v>11</v>
      </c>
      <c r="D53" s="25" t="s">
        <v>136</v>
      </c>
      <c r="E53" s="13">
        <v>62.5</v>
      </c>
    </row>
    <row r="54" spans="1:5" ht="30" x14ac:dyDescent="0.25">
      <c r="A54" s="23" t="s">
        <v>133</v>
      </c>
      <c r="B54" s="35"/>
      <c r="C54" s="24"/>
      <c r="D54" s="25" t="s">
        <v>24</v>
      </c>
      <c r="E54" s="13">
        <v>14.9</v>
      </c>
    </row>
    <row r="55" spans="1:5" s="51" customFormat="1" ht="30" x14ac:dyDescent="0.25">
      <c r="A55" s="23" t="s">
        <v>142</v>
      </c>
      <c r="B55" s="35"/>
      <c r="C55" s="24"/>
      <c r="D55" s="25" t="s">
        <v>27</v>
      </c>
      <c r="E55" s="13">
        <v>80</v>
      </c>
    </row>
    <row r="56" spans="1:5" s="51" customFormat="1" x14ac:dyDescent="0.25">
      <c r="A56" s="23" t="s">
        <v>143</v>
      </c>
      <c r="B56" s="35"/>
      <c r="C56" s="24"/>
      <c r="D56" s="25" t="s">
        <v>139</v>
      </c>
      <c r="E56" s="13">
        <v>36</v>
      </c>
    </row>
    <row r="57" spans="1:5" s="51" customFormat="1" x14ac:dyDescent="0.25">
      <c r="A57" s="23" t="s">
        <v>144</v>
      </c>
      <c r="B57" s="35">
        <v>68634606865</v>
      </c>
      <c r="C57" s="24" t="s">
        <v>45</v>
      </c>
      <c r="D57" s="25" t="s">
        <v>139</v>
      </c>
      <c r="E57" s="13">
        <v>51.86</v>
      </c>
    </row>
    <row r="58" spans="1:5" s="51" customFormat="1" ht="30" x14ac:dyDescent="0.25">
      <c r="A58" s="23" t="s">
        <v>144</v>
      </c>
      <c r="B58" s="35">
        <v>68634606865</v>
      </c>
      <c r="C58" s="24" t="s">
        <v>45</v>
      </c>
      <c r="D58" s="25" t="s">
        <v>27</v>
      </c>
      <c r="E58" s="13">
        <v>106</v>
      </c>
    </row>
    <row r="59" spans="1:5" s="51" customFormat="1" ht="30" x14ac:dyDescent="0.25">
      <c r="A59" s="23" t="s">
        <v>145</v>
      </c>
      <c r="B59" s="35">
        <v>81474163923</v>
      </c>
      <c r="C59" s="24" t="s">
        <v>64</v>
      </c>
      <c r="D59" s="25" t="s">
        <v>58</v>
      </c>
      <c r="E59" s="13">
        <v>65.56</v>
      </c>
    </row>
    <row r="60" spans="1:5" s="51" customFormat="1" ht="30" x14ac:dyDescent="0.25">
      <c r="A60" s="23" t="s">
        <v>146</v>
      </c>
      <c r="B60" s="35">
        <v>643859701</v>
      </c>
      <c r="C60" s="24" t="s">
        <v>45</v>
      </c>
      <c r="D60" s="25" t="s">
        <v>24</v>
      </c>
      <c r="E60" s="13">
        <v>6.2</v>
      </c>
    </row>
    <row r="61" spans="1:5" s="51" customFormat="1" ht="30" x14ac:dyDescent="0.25">
      <c r="A61" s="23" t="s">
        <v>147</v>
      </c>
      <c r="B61" s="35"/>
      <c r="C61" s="24"/>
      <c r="D61" s="25" t="s">
        <v>27</v>
      </c>
      <c r="E61" s="13">
        <v>37</v>
      </c>
    </row>
    <row r="62" spans="1:5" s="51" customFormat="1" x14ac:dyDescent="0.25">
      <c r="A62" s="23" t="s">
        <v>148</v>
      </c>
      <c r="B62" s="35">
        <v>66089976432</v>
      </c>
      <c r="C62" s="24" t="s">
        <v>45</v>
      </c>
      <c r="D62" s="12" t="s">
        <v>41</v>
      </c>
      <c r="E62" s="13">
        <v>7.75</v>
      </c>
    </row>
    <row r="63" spans="1:5" s="51" customFormat="1" ht="30" x14ac:dyDescent="0.25">
      <c r="A63" s="23" t="s">
        <v>149</v>
      </c>
      <c r="B63" s="35"/>
      <c r="C63" s="24"/>
      <c r="D63" s="25" t="s">
        <v>24</v>
      </c>
      <c r="E63" s="13">
        <v>12</v>
      </c>
    </row>
    <row r="64" spans="1:5" x14ac:dyDescent="0.25">
      <c r="A64" s="16" t="s">
        <v>26</v>
      </c>
      <c r="B64" s="16"/>
      <c r="C64" s="17"/>
      <c r="D64" s="17"/>
      <c r="E64" s="18">
        <f>SUM(E8:E63)</f>
        <v>118641.97999999997</v>
      </c>
    </row>
    <row r="65" spans="1:5" x14ac:dyDescent="0.25">
      <c r="A65" s="51"/>
      <c r="B65" s="51"/>
      <c r="C65" s="51"/>
      <c r="D65" s="51"/>
      <c r="E65" s="51"/>
    </row>
    <row r="66" spans="1:5" x14ac:dyDescent="0.25">
      <c r="A66" s="41" t="s">
        <v>150</v>
      </c>
      <c r="B66" s="51"/>
      <c r="C66" s="51"/>
      <c r="D66" s="51"/>
      <c r="E66" s="51"/>
    </row>
  </sheetData>
  <mergeCells count="6">
    <mergeCell ref="A5:E5"/>
    <mergeCell ref="A1:E1"/>
    <mergeCell ref="A2:B2"/>
    <mergeCell ref="D2:E2"/>
    <mergeCell ref="A3:B3"/>
    <mergeCell ref="D3:E3"/>
  </mergeCells>
  <conditionalFormatting sqref="D43 A18:A21 C18:D20 C21">
    <cfRule type="expression" dxfId="216" priority="9">
      <formula>MOD(ROW(),2)=0</formula>
    </cfRule>
  </conditionalFormatting>
  <conditionalFormatting sqref="A26 C26">
    <cfRule type="expression" dxfId="215" priority="8">
      <formula>MOD(ROW(),2)=0</formula>
    </cfRule>
  </conditionalFormatting>
  <conditionalFormatting sqref="E18:E32">
    <cfRule type="expression" dxfId="214" priority="7">
      <formula>MOD(ROW(),2)=0</formula>
    </cfRule>
  </conditionalFormatting>
  <conditionalFormatting sqref="E18:E32">
    <cfRule type="expression" dxfId="213" priority="10">
      <formula>MOD(ROW(),2)=1</formula>
    </cfRule>
  </conditionalFormatting>
  <conditionalFormatting sqref="A25 C25">
    <cfRule type="expression" dxfId="212" priority="11">
      <formula>MOD(ROW(),2)=0</formula>
    </cfRule>
  </conditionalFormatting>
  <conditionalFormatting sqref="D15 A34:C36 A43:C43 A44:D47 A48:C48 A49:D64">
    <cfRule type="expression" dxfId="211" priority="12">
      <formula>MOD(ROW(),2)=0</formula>
    </cfRule>
  </conditionalFormatting>
  <conditionalFormatting sqref="A17:D17 A42:C42 A37:D38 A40:D41 A39:C39">
    <cfRule type="expression" dxfId="210" priority="13">
      <formula>MOD(ROW(),2)=0</formula>
    </cfRule>
  </conditionalFormatting>
  <conditionalFormatting sqref="E41:E64">
    <cfRule type="expression" dxfId="209" priority="14">
      <formula>MOD(ROW(),2)=0</formula>
    </cfRule>
  </conditionalFormatting>
  <conditionalFormatting sqref="E41:E64">
    <cfRule type="expression" dxfId="208" priority="15">
      <formula>MOD(ROW(),2)=1</formula>
    </cfRule>
  </conditionalFormatting>
  <conditionalFormatting sqref="A8:D8 A24 D22 A32:D33 A10:D10 C24:D24 A27:A31 C27:D31 D25">
    <cfRule type="expression" dxfId="207" priority="28">
      <formula>MOD(ROW(),2)=0</formula>
    </cfRule>
  </conditionalFormatting>
  <conditionalFormatting sqref="E8 E36 E10">
    <cfRule type="expression" dxfId="206" priority="29">
      <formula>MOD(ROW(),2)=0</formula>
    </cfRule>
  </conditionalFormatting>
  <conditionalFormatting sqref="E8 E36 E10">
    <cfRule type="expression" dxfId="205" priority="30">
      <formula>MOD(ROW(),2)=1</formula>
    </cfRule>
  </conditionalFormatting>
  <conditionalFormatting sqref="E33:E35">
    <cfRule type="expression" dxfId="204" priority="31">
      <formula>MOD(ROW(),2)=0</formula>
    </cfRule>
  </conditionalFormatting>
  <conditionalFormatting sqref="E33:E35">
    <cfRule type="expression" dxfId="203" priority="32">
      <formula>MOD(ROW(),2)=1</formula>
    </cfRule>
  </conditionalFormatting>
  <conditionalFormatting sqref="E37:E40">
    <cfRule type="expression" dxfId="202" priority="33">
      <formula>MOD(ROW(),2)=0</formula>
    </cfRule>
  </conditionalFormatting>
  <conditionalFormatting sqref="E37:E40">
    <cfRule type="expression" dxfId="201" priority="34">
      <formula>MOD(ROW(),2)=1</formula>
    </cfRule>
  </conditionalFormatting>
  <conditionalFormatting sqref="A22 C22">
    <cfRule type="expression" dxfId="200" priority="35">
      <formula>MOD(ROW(),2)=0</formula>
    </cfRule>
  </conditionalFormatting>
  <conditionalFormatting sqref="A13:D13 A16:D16 A14:C15">
    <cfRule type="expression" dxfId="199" priority="36">
      <formula>MOD(ROW(),2)=0</formula>
    </cfRule>
  </conditionalFormatting>
  <conditionalFormatting sqref="E13:E16">
    <cfRule type="expression" dxfId="198" priority="37">
      <formula>MOD(ROW(),2)=0</formula>
    </cfRule>
  </conditionalFormatting>
  <conditionalFormatting sqref="E13:E16">
    <cfRule type="expression" dxfId="197" priority="38">
      <formula>MOD(ROW(),2)=1</formula>
    </cfRule>
  </conditionalFormatting>
  <conditionalFormatting sqref="D34">
    <cfRule type="expression" dxfId="196" priority="39">
      <formula>MOD(ROW(),2)=0</formula>
    </cfRule>
  </conditionalFormatting>
  <conditionalFormatting sqref="A23 C23">
    <cfRule type="expression" dxfId="195" priority="27">
      <formula>MOD(ROW(),2)=0</formula>
    </cfRule>
  </conditionalFormatting>
  <conditionalFormatting sqref="D23">
    <cfRule type="expression" dxfId="194" priority="26">
      <formula>MOD(ROW(),2)=0</formula>
    </cfRule>
  </conditionalFormatting>
  <conditionalFormatting sqref="D35">
    <cfRule type="expression" dxfId="193" priority="25">
      <formula>MOD(ROW(),2)=0</formula>
    </cfRule>
  </conditionalFormatting>
  <conditionalFormatting sqref="D36">
    <cfRule type="expression" dxfId="192" priority="24">
      <formula>MOD(ROW(),2)=0</formula>
    </cfRule>
  </conditionalFormatting>
  <conditionalFormatting sqref="A9:D9">
    <cfRule type="expression" dxfId="191" priority="21">
      <formula>MOD(ROW(),2)=0</formula>
    </cfRule>
  </conditionalFormatting>
  <conditionalFormatting sqref="A12:D12">
    <cfRule type="expression" dxfId="190" priority="18">
      <formula>MOD(ROW(),2)=0</formula>
    </cfRule>
  </conditionalFormatting>
  <conditionalFormatting sqref="E9">
    <cfRule type="expression" dxfId="189" priority="22">
      <formula>MOD(ROW(),2)=0</formula>
    </cfRule>
  </conditionalFormatting>
  <conditionalFormatting sqref="E9">
    <cfRule type="expression" dxfId="188" priority="23">
      <formula>MOD(ROW(),2)=1</formula>
    </cfRule>
  </conditionalFormatting>
  <conditionalFormatting sqref="E12">
    <cfRule type="expression" dxfId="187" priority="19">
      <formula>MOD(ROW(),2)=0</formula>
    </cfRule>
  </conditionalFormatting>
  <conditionalFormatting sqref="E12">
    <cfRule type="expression" dxfId="186" priority="20">
      <formula>MOD(ROW(),2)=1</formula>
    </cfRule>
  </conditionalFormatting>
  <conditionalFormatting sqref="A11 C11:D11">
    <cfRule type="expression" dxfId="185" priority="40">
      <formula>MOD(ROW(),2)=0</formula>
    </cfRule>
  </conditionalFormatting>
  <conditionalFormatting sqref="E11">
    <cfRule type="expression" dxfId="184" priority="16">
      <formula>MOD(ROW(),2)=0</formula>
    </cfRule>
  </conditionalFormatting>
  <conditionalFormatting sqref="E11">
    <cfRule type="expression" dxfId="183" priority="17">
      <formula>MOD(ROW(),2)=1</formula>
    </cfRule>
  </conditionalFormatting>
  <conditionalFormatting sqref="E17">
    <cfRule type="expression" dxfId="182" priority="41">
      <formula>MOD(ROW(),2)=0</formula>
    </cfRule>
  </conditionalFormatting>
  <conditionalFormatting sqref="E17">
    <cfRule type="expression" dxfId="181" priority="42">
      <formula>MOD(ROW(),2)=1</formula>
    </cfRule>
  </conditionalFormatting>
  <conditionalFormatting sqref="D42">
    <cfRule type="expression" dxfId="180" priority="43">
      <formula>MOD(ROW(),2)=0</formula>
    </cfRule>
  </conditionalFormatting>
  <conditionalFormatting sqref="D26">
    <cfRule type="expression" dxfId="179" priority="6">
      <formula>MOD(ROW(),2)=0</formula>
    </cfRule>
  </conditionalFormatting>
  <conditionalFormatting sqref="D48">
    <cfRule type="expression" dxfId="178" priority="3">
      <formula>MOD(ROW(),2)=0</formula>
    </cfRule>
  </conditionalFormatting>
  <conditionalFormatting sqref="D21">
    <cfRule type="expression" dxfId="177" priority="4">
      <formula>MOD(ROW(),2)=0</formula>
    </cfRule>
  </conditionalFormatting>
  <conditionalFormatting sqref="D14">
    <cfRule type="expression" dxfId="176" priority="2">
      <formula>MOD(ROW(),2)=0</formula>
    </cfRule>
  </conditionalFormatting>
  <conditionalFormatting sqref="D39">
    <cfRule type="expression" dxfId="175" priority="1">
      <formula>MOD(ROW(),2)=0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41E8A-B1E0-4697-A8A4-DE8592EBE32F}">
  <sheetPr>
    <tabColor theme="4" tint="0.59999389629810485"/>
  </sheetPr>
  <dimension ref="A1:E54"/>
  <sheetViews>
    <sheetView workbookViewId="0">
      <selection sqref="A1:E54"/>
    </sheetView>
  </sheetViews>
  <sheetFormatPr defaultRowHeight="15" x14ac:dyDescent="0.25"/>
  <cols>
    <col min="1" max="1" width="34.7109375" customWidth="1"/>
    <col min="2" max="2" width="23.42578125" customWidth="1"/>
    <col min="3" max="3" width="26.5703125" customWidth="1"/>
    <col min="4" max="4" width="30.85546875" customWidth="1"/>
    <col min="5" max="5" width="20.7109375" customWidth="1"/>
  </cols>
  <sheetData>
    <row r="1" spans="1:5" ht="39.75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15.75" x14ac:dyDescent="0.25">
      <c r="A4" s="52" t="s">
        <v>151</v>
      </c>
      <c r="B4" s="6"/>
      <c r="C4" s="6"/>
      <c r="D4" s="6"/>
      <c r="E4" s="6"/>
    </row>
    <row r="5" spans="1:5" ht="15.75" x14ac:dyDescent="0.25">
      <c r="A5" s="65" t="s">
        <v>1</v>
      </c>
      <c r="B5" s="66"/>
      <c r="C5" s="66"/>
      <c r="D5" s="66"/>
      <c r="E5" s="66"/>
    </row>
    <row r="6" spans="1:5" x14ac:dyDescent="0.25">
      <c r="A6" s="53"/>
      <c r="B6" s="53"/>
      <c r="C6" s="53"/>
      <c r="D6" s="53"/>
      <c r="E6" s="53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f>787.5+81208.22</f>
        <v>81995.72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9</v>
      </c>
      <c r="E9" s="49">
        <v>1273.55</v>
      </c>
    </row>
    <row r="10" spans="1:5" ht="30" x14ac:dyDescent="0.25">
      <c r="A10" s="10" t="s">
        <v>7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8</v>
      </c>
      <c r="E10" s="13">
        <f>979.18+88.73</f>
        <v>1067.9099999999999</v>
      </c>
    </row>
    <row r="11" spans="1:5" ht="30" x14ac:dyDescent="0.25">
      <c r="A11" s="10" t="s">
        <v>7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12</v>
      </c>
      <c r="E11" s="13">
        <v>53.09</v>
      </c>
    </row>
    <row r="12" spans="1:5" ht="30" x14ac:dyDescent="0.25">
      <c r="A12" s="10" t="s">
        <v>7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37</v>
      </c>
      <c r="E12" s="13">
        <f>129.94+13785.67</f>
        <v>13915.61</v>
      </c>
    </row>
    <row r="13" spans="1:5" ht="45" x14ac:dyDescent="0.25">
      <c r="A13" s="10" t="s">
        <v>7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35</v>
      </c>
      <c r="E13" s="13">
        <v>2166.9499999999998</v>
      </c>
    </row>
    <row r="14" spans="1:5" x14ac:dyDescent="0.25">
      <c r="A14" s="35" t="s">
        <v>121</v>
      </c>
      <c r="B14" s="23">
        <v>45594774168</v>
      </c>
      <c r="C14" s="24" t="s">
        <v>45</v>
      </c>
      <c r="D14" s="12" t="s">
        <v>21</v>
      </c>
      <c r="E14" s="13">
        <v>74.3</v>
      </c>
    </row>
    <row r="15" spans="1:5" s="53" customFormat="1" x14ac:dyDescent="0.25">
      <c r="A15" s="35" t="s">
        <v>121</v>
      </c>
      <c r="B15" s="23">
        <v>45594774168</v>
      </c>
      <c r="C15" s="24" t="s">
        <v>45</v>
      </c>
      <c r="D15" s="25" t="s">
        <v>157</v>
      </c>
      <c r="E15" s="13">
        <v>298.13</v>
      </c>
    </row>
    <row r="16" spans="1:5" x14ac:dyDescent="0.25">
      <c r="A16" s="35" t="s">
        <v>121</v>
      </c>
      <c r="B16" s="23">
        <v>45594774168</v>
      </c>
      <c r="C16" s="24" t="s">
        <v>45</v>
      </c>
      <c r="D16" s="12" t="s">
        <v>52</v>
      </c>
      <c r="E16" s="13">
        <v>5.84</v>
      </c>
    </row>
    <row r="17" spans="1:5" s="53" customFormat="1" ht="30" x14ac:dyDescent="0.25">
      <c r="A17" s="35" t="s">
        <v>121</v>
      </c>
      <c r="B17" s="23">
        <v>45594774168</v>
      </c>
      <c r="C17" s="24" t="s">
        <v>45</v>
      </c>
      <c r="D17" s="25" t="s">
        <v>27</v>
      </c>
      <c r="E17" s="13">
        <v>49.34</v>
      </c>
    </row>
    <row r="18" spans="1:5" x14ac:dyDescent="0.25">
      <c r="A18" s="23" t="s">
        <v>7</v>
      </c>
      <c r="B18" s="23"/>
      <c r="C18" s="24"/>
      <c r="D18" s="25" t="s">
        <v>71</v>
      </c>
      <c r="E18" s="13">
        <v>24</v>
      </c>
    </row>
    <row r="19" spans="1:5" ht="30" x14ac:dyDescent="0.25">
      <c r="A19" s="10" t="s">
        <v>7</v>
      </c>
      <c r="B19" s="10"/>
      <c r="C19" s="11"/>
      <c r="D19" s="12" t="s">
        <v>66</v>
      </c>
      <c r="E19" s="13">
        <f>165.5+114.25</f>
        <v>279.75</v>
      </c>
    </row>
    <row r="20" spans="1:5" x14ac:dyDescent="0.25">
      <c r="A20" s="10" t="s">
        <v>10</v>
      </c>
      <c r="B20" s="30">
        <v>18683136487</v>
      </c>
      <c r="C20" s="11" t="s">
        <v>11</v>
      </c>
      <c r="D20" s="12" t="s">
        <v>38</v>
      </c>
      <c r="E20" s="13">
        <v>336</v>
      </c>
    </row>
    <row r="21" spans="1:5" x14ac:dyDescent="0.25">
      <c r="A21" s="10" t="s">
        <v>39</v>
      </c>
      <c r="B21" s="29">
        <v>44138062462</v>
      </c>
      <c r="C21" s="11" t="s">
        <v>40</v>
      </c>
      <c r="D21" s="12" t="s">
        <v>41</v>
      </c>
      <c r="E21" s="13">
        <f>432.7+431.91+160+152.86+353.34+76.31+689.21+77.74+137.96+80.86+40.62+80+404.47+308.03+444.63+413.41+77.74+200.99+364.35+24.66+276.64+278.09</f>
        <v>5506.5199999999995</v>
      </c>
    </row>
    <row r="22" spans="1:5" ht="30" x14ac:dyDescent="0.25">
      <c r="A22" s="10" t="s">
        <v>17</v>
      </c>
      <c r="B22" s="29">
        <v>81793146560</v>
      </c>
      <c r="C22" s="11" t="s">
        <v>11</v>
      </c>
      <c r="D22" s="12" t="s">
        <v>16</v>
      </c>
      <c r="E22" s="13">
        <f>23.49+49.25</f>
        <v>72.739999999999995</v>
      </c>
    </row>
    <row r="23" spans="1:5" x14ac:dyDescent="0.25">
      <c r="A23" s="10" t="s">
        <v>17</v>
      </c>
      <c r="B23" s="29">
        <v>81793146560</v>
      </c>
      <c r="C23" s="11" t="s">
        <v>11</v>
      </c>
      <c r="D23" s="12" t="s">
        <v>50</v>
      </c>
      <c r="E23" s="13">
        <f>0.04+0.03</f>
        <v>7.0000000000000007E-2</v>
      </c>
    </row>
    <row r="24" spans="1:5" ht="30" x14ac:dyDescent="0.25">
      <c r="A24" s="36" t="s">
        <v>107</v>
      </c>
      <c r="B24" s="10">
        <v>35321872873</v>
      </c>
      <c r="C24" s="37" t="s">
        <v>57</v>
      </c>
      <c r="D24" s="25" t="s">
        <v>24</v>
      </c>
      <c r="E24" s="13">
        <v>51.5</v>
      </c>
    </row>
    <row r="25" spans="1:5" x14ac:dyDescent="0.25">
      <c r="A25" s="23" t="s">
        <v>47</v>
      </c>
      <c r="B25" s="23">
        <v>43965974818</v>
      </c>
      <c r="C25" s="24" t="s">
        <v>11</v>
      </c>
      <c r="D25" s="11" t="s">
        <v>19</v>
      </c>
      <c r="E25" s="13">
        <v>2.85</v>
      </c>
    </row>
    <row r="26" spans="1:5" x14ac:dyDescent="0.25">
      <c r="A26" s="10" t="s">
        <v>18</v>
      </c>
      <c r="B26" s="29">
        <v>63073332379</v>
      </c>
      <c r="C26" s="11" t="s">
        <v>11</v>
      </c>
      <c r="D26" s="11" t="s">
        <v>19</v>
      </c>
      <c r="E26" s="13">
        <v>311.75</v>
      </c>
    </row>
    <row r="27" spans="1:5" x14ac:dyDescent="0.25">
      <c r="A27" s="10" t="s">
        <v>20</v>
      </c>
      <c r="B27" s="10">
        <v>85821130368</v>
      </c>
      <c r="C27" s="11" t="s">
        <v>11</v>
      </c>
      <c r="D27" s="11" t="s">
        <v>21</v>
      </c>
      <c r="E27" s="13">
        <v>1.66</v>
      </c>
    </row>
    <row r="28" spans="1:5" x14ac:dyDescent="0.25">
      <c r="A28" s="10" t="s">
        <v>22</v>
      </c>
      <c r="B28" s="29">
        <v>41317489366</v>
      </c>
      <c r="C28" s="11" t="s">
        <v>23</v>
      </c>
      <c r="D28" s="11" t="s">
        <v>19</v>
      </c>
      <c r="E28" s="13">
        <f>176.22+7.84</f>
        <v>184.06</v>
      </c>
    </row>
    <row r="29" spans="1:5" x14ac:dyDescent="0.25">
      <c r="A29" s="10" t="s">
        <v>48</v>
      </c>
      <c r="B29" s="10">
        <v>97575612726</v>
      </c>
      <c r="C29" s="11" t="s">
        <v>45</v>
      </c>
      <c r="D29" s="12" t="s">
        <v>13</v>
      </c>
      <c r="E29" s="13">
        <f>11.24+11.24+11.24+11.96+86.24</f>
        <v>131.91999999999999</v>
      </c>
    </row>
    <row r="30" spans="1:5" x14ac:dyDescent="0.25">
      <c r="A30" s="10" t="s">
        <v>49</v>
      </c>
      <c r="B30" s="10">
        <v>71442681806</v>
      </c>
      <c r="C30" s="11" t="s">
        <v>45</v>
      </c>
      <c r="D30" s="12" t="s">
        <v>13</v>
      </c>
      <c r="E30" s="13">
        <f>73.41+31.66+5.54+7.8</f>
        <v>118.41</v>
      </c>
    </row>
    <row r="31" spans="1:5" x14ac:dyDescent="0.25">
      <c r="A31" s="10" t="s">
        <v>49</v>
      </c>
      <c r="B31" s="10">
        <v>71442681806</v>
      </c>
      <c r="C31" s="11" t="s">
        <v>45</v>
      </c>
      <c r="D31" s="12" t="s">
        <v>50</v>
      </c>
      <c r="E31" s="13">
        <f>0.01+0.06+0.15+0.01</f>
        <v>0.22999999999999998</v>
      </c>
    </row>
    <row r="32" spans="1:5" ht="30" x14ac:dyDescent="0.25">
      <c r="A32" s="10" t="s">
        <v>14</v>
      </c>
      <c r="B32" s="10">
        <v>87311810356</v>
      </c>
      <c r="C32" s="11" t="s">
        <v>15</v>
      </c>
      <c r="D32" s="12" t="s">
        <v>16</v>
      </c>
      <c r="E32" s="13">
        <v>24.98</v>
      </c>
    </row>
    <row r="33" spans="1:5" x14ac:dyDescent="0.25">
      <c r="A33" s="10" t="s">
        <v>73</v>
      </c>
      <c r="B33" s="10">
        <v>27332507825</v>
      </c>
      <c r="C33" s="11" t="s">
        <v>74</v>
      </c>
      <c r="D33" s="12" t="s">
        <v>75</v>
      </c>
      <c r="E33" s="13">
        <v>62.5</v>
      </c>
    </row>
    <row r="34" spans="1:5" ht="30" x14ac:dyDescent="0.25">
      <c r="A34" s="10" t="s">
        <v>54</v>
      </c>
      <c r="B34" s="10">
        <v>47414897452</v>
      </c>
      <c r="C34" s="11" t="s">
        <v>55</v>
      </c>
      <c r="D34" s="12" t="s">
        <v>24</v>
      </c>
      <c r="E34" s="13">
        <v>51.51</v>
      </c>
    </row>
    <row r="35" spans="1:5" x14ac:dyDescent="0.25">
      <c r="A35" s="10" t="s">
        <v>54</v>
      </c>
      <c r="B35" s="10">
        <v>47414897452</v>
      </c>
      <c r="C35" s="11" t="s">
        <v>55</v>
      </c>
      <c r="D35" s="12" t="s">
        <v>41</v>
      </c>
      <c r="E35" s="13">
        <f>203.27+128.08</f>
        <v>331.35</v>
      </c>
    </row>
    <row r="36" spans="1:5" x14ac:dyDescent="0.25">
      <c r="A36" s="10" t="s">
        <v>54</v>
      </c>
      <c r="B36" s="10">
        <v>47414897452</v>
      </c>
      <c r="C36" s="11" t="s">
        <v>55</v>
      </c>
      <c r="D36" s="25" t="s">
        <v>139</v>
      </c>
      <c r="E36" s="13">
        <v>393.85</v>
      </c>
    </row>
    <row r="37" spans="1:5" s="53" customFormat="1" ht="30" x14ac:dyDescent="0.25">
      <c r="A37" s="10" t="s">
        <v>54</v>
      </c>
      <c r="B37" s="10">
        <v>47414897452</v>
      </c>
      <c r="C37" s="11" t="s">
        <v>55</v>
      </c>
      <c r="D37" s="25" t="s">
        <v>27</v>
      </c>
      <c r="E37" s="13">
        <v>23.33</v>
      </c>
    </row>
    <row r="38" spans="1:5" x14ac:dyDescent="0.25">
      <c r="A38" s="35" t="s">
        <v>63</v>
      </c>
      <c r="B38" s="23">
        <v>18928523252</v>
      </c>
      <c r="C38" s="33" t="s">
        <v>64</v>
      </c>
      <c r="D38" s="12" t="s">
        <v>41</v>
      </c>
      <c r="E38" s="13">
        <f>122.55+70.09+229.38+119.39</f>
        <v>541.41</v>
      </c>
    </row>
    <row r="39" spans="1:5" ht="30" x14ac:dyDescent="0.25">
      <c r="A39" s="36" t="s">
        <v>87</v>
      </c>
      <c r="B39" s="10"/>
      <c r="C39" s="37"/>
      <c r="D39" s="12" t="s">
        <v>24</v>
      </c>
      <c r="E39" s="13">
        <v>114.03</v>
      </c>
    </row>
    <row r="40" spans="1:5" x14ac:dyDescent="0.25">
      <c r="A40" s="35" t="s">
        <v>116</v>
      </c>
      <c r="B40" s="23">
        <v>75550985023</v>
      </c>
      <c r="C40" s="33" t="s">
        <v>11</v>
      </c>
      <c r="D40" s="11" t="s">
        <v>19</v>
      </c>
      <c r="E40" s="13">
        <v>102.9</v>
      </c>
    </row>
    <row r="41" spans="1:5" x14ac:dyDescent="0.25">
      <c r="A41" s="10" t="s">
        <v>60</v>
      </c>
      <c r="B41" s="10">
        <v>43238257395</v>
      </c>
      <c r="C41" s="11" t="s">
        <v>45</v>
      </c>
      <c r="D41" s="12" t="s">
        <v>41</v>
      </c>
      <c r="E41" s="13">
        <f>586.96+407.62+514.15+589.8</f>
        <v>2098.5299999999997</v>
      </c>
    </row>
    <row r="42" spans="1:5" x14ac:dyDescent="0.25">
      <c r="A42" s="10" t="s">
        <v>61</v>
      </c>
      <c r="B42" s="10">
        <v>41976933718</v>
      </c>
      <c r="C42" s="11" t="s">
        <v>62</v>
      </c>
      <c r="D42" s="12" t="s">
        <v>41</v>
      </c>
      <c r="E42" s="13">
        <f>236.43+115.25</f>
        <v>351.68</v>
      </c>
    </row>
    <row r="43" spans="1:5" x14ac:dyDescent="0.25">
      <c r="A43" s="10" t="s">
        <v>65</v>
      </c>
      <c r="B43" s="10">
        <v>63074697345</v>
      </c>
      <c r="C43" s="11" t="s">
        <v>45</v>
      </c>
      <c r="D43" s="12" t="s">
        <v>41</v>
      </c>
      <c r="E43" s="13">
        <f>926.39+719.75+225.53</f>
        <v>1871.6699999999998</v>
      </c>
    </row>
    <row r="44" spans="1:5" x14ac:dyDescent="0.25">
      <c r="A44" s="23" t="s">
        <v>72</v>
      </c>
      <c r="B44" s="35" t="s">
        <v>86</v>
      </c>
      <c r="C44" s="24" t="s">
        <v>11</v>
      </c>
      <c r="D44" s="12" t="s">
        <v>41</v>
      </c>
      <c r="E44" s="13">
        <f>107.08+52.9+163.7+162.88+108.75</f>
        <v>595.30999999999995</v>
      </c>
    </row>
    <row r="45" spans="1:5" x14ac:dyDescent="0.25">
      <c r="A45" s="23" t="s">
        <v>91</v>
      </c>
      <c r="B45" s="35">
        <v>96591335948</v>
      </c>
      <c r="C45" s="24" t="s">
        <v>45</v>
      </c>
      <c r="D45" s="25" t="s">
        <v>13</v>
      </c>
      <c r="E45" s="13"/>
    </row>
    <row r="46" spans="1:5" x14ac:dyDescent="0.25">
      <c r="A46" s="23" t="s">
        <v>158</v>
      </c>
      <c r="B46" s="35">
        <v>15339895938</v>
      </c>
      <c r="C46" s="24" t="s">
        <v>45</v>
      </c>
      <c r="D46" s="25" t="s">
        <v>52</v>
      </c>
      <c r="E46" s="13">
        <f>580+287.5</f>
        <v>867.5</v>
      </c>
    </row>
    <row r="47" spans="1:5" ht="30" x14ac:dyDescent="0.25">
      <c r="A47" s="23" t="s">
        <v>105</v>
      </c>
      <c r="B47" s="35">
        <v>37879152548</v>
      </c>
      <c r="C47" s="24" t="s">
        <v>23</v>
      </c>
      <c r="D47" s="25" t="s">
        <v>24</v>
      </c>
      <c r="E47" s="13">
        <v>319.24</v>
      </c>
    </row>
    <row r="48" spans="1:5" ht="30" x14ac:dyDescent="0.25">
      <c r="A48" s="23" t="s">
        <v>153</v>
      </c>
      <c r="B48" s="35">
        <v>87301734795</v>
      </c>
      <c r="C48" s="24" t="s">
        <v>154</v>
      </c>
      <c r="D48" s="25" t="s">
        <v>58</v>
      </c>
      <c r="E48" s="13">
        <v>249.99</v>
      </c>
    </row>
    <row r="49" spans="1:5" ht="30" x14ac:dyDescent="0.25">
      <c r="A49" s="23" t="s">
        <v>153</v>
      </c>
      <c r="B49" s="35">
        <v>87301734795</v>
      </c>
      <c r="C49" s="24" t="s">
        <v>154</v>
      </c>
      <c r="D49" s="25" t="s">
        <v>27</v>
      </c>
      <c r="E49" s="13">
        <f>287.84+60.99</f>
        <v>348.83</v>
      </c>
    </row>
    <row r="50" spans="1:5" x14ac:dyDescent="0.25">
      <c r="A50" s="23" t="s">
        <v>155</v>
      </c>
      <c r="B50" s="35">
        <v>9427956589</v>
      </c>
      <c r="C50" s="24" t="s">
        <v>156</v>
      </c>
      <c r="D50" s="25" t="s">
        <v>52</v>
      </c>
      <c r="E50" s="13">
        <v>127</v>
      </c>
    </row>
    <row r="51" spans="1:5" ht="30" x14ac:dyDescent="0.25">
      <c r="A51" s="23" t="s">
        <v>81</v>
      </c>
      <c r="B51" s="35">
        <v>24796394086</v>
      </c>
      <c r="C51" s="24" t="s">
        <v>11</v>
      </c>
      <c r="D51" s="12" t="s">
        <v>24</v>
      </c>
      <c r="E51" s="13">
        <v>55</v>
      </c>
    </row>
    <row r="52" spans="1:5" ht="27" customHeight="1" x14ac:dyDescent="0.25">
      <c r="A52" s="16" t="s">
        <v>26</v>
      </c>
      <c r="B52" s="16"/>
      <c r="C52" s="17"/>
      <c r="D52" s="17"/>
      <c r="E52" s="18">
        <f>SUM(E8:E51)</f>
        <v>116452.51000000002</v>
      </c>
    </row>
    <row r="53" spans="1:5" x14ac:dyDescent="0.25">
      <c r="A53" s="53"/>
      <c r="B53" s="53"/>
      <c r="C53" s="53"/>
      <c r="D53" s="53"/>
      <c r="E53" s="53"/>
    </row>
    <row r="54" spans="1:5" ht="36" customHeight="1" x14ac:dyDescent="0.25">
      <c r="A54" s="41" t="s">
        <v>152</v>
      </c>
      <c r="B54" s="53"/>
      <c r="C54" s="53"/>
      <c r="D54" s="53"/>
      <c r="E54" s="53"/>
    </row>
  </sheetData>
  <mergeCells count="6">
    <mergeCell ref="A5:E5"/>
    <mergeCell ref="A1:E1"/>
    <mergeCell ref="A2:B2"/>
    <mergeCell ref="D2:E2"/>
    <mergeCell ref="A3:B3"/>
    <mergeCell ref="D3:E3"/>
  </mergeCells>
  <conditionalFormatting sqref="D36:D37 A20:A21 A25:A28 C25:D28 A41:D52">
    <cfRule type="expression" dxfId="174" priority="1">
      <formula>MOD(ROW(),2)=0</formula>
    </cfRule>
  </conditionalFormatting>
  <conditionalFormatting sqref="E20:E29 E39:E52">
    <cfRule type="expression" dxfId="173" priority="2">
      <formula>MOD(ROW(),2)=0</formula>
    </cfRule>
  </conditionalFormatting>
  <conditionalFormatting sqref="E20:E29 E39:E52">
    <cfRule type="expression" dxfId="172" priority="3">
      <formula>MOD(ROW(),2)=1</formula>
    </cfRule>
  </conditionalFormatting>
  <conditionalFormatting sqref="C20:D21">
    <cfRule type="expression" dxfId="171" priority="8">
      <formula>MOD(ROW(),2)=0</formula>
    </cfRule>
  </conditionalFormatting>
  <conditionalFormatting sqref="A24 C24">
    <cfRule type="expression" dxfId="170" priority="7">
      <formula>MOD(ROW(),2)=0</formula>
    </cfRule>
  </conditionalFormatting>
  <conditionalFormatting sqref="D16:D17 A31:C33">
    <cfRule type="expression" dxfId="169" priority="11">
      <formula>MOD(ROW(),2)=0</formula>
    </cfRule>
  </conditionalFormatting>
  <conditionalFormatting sqref="A19:D19 A40:C40 A34:D35 A38:D39 A36:C37">
    <cfRule type="expression" dxfId="168" priority="12">
      <formula>MOD(ROW(),2)=0</formula>
    </cfRule>
  </conditionalFormatting>
  <conditionalFormatting sqref="A8:D8 D22 A29:D30 A10:D10">
    <cfRule type="expression" dxfId="167" priority="27">
      <formula>MOD(ROW(),2)=0</formula>
    </cfRule>
  </conditionalFormatting>
  <conditionalFormatting sqref="E8 E33 E10">
    <cfRule type="expression" dxfId="166" priority="28">
      <formula>MOD(ROW(),2)=0</formula>
    </cfRule>
  </conditionalFormatting>
  <conditionalFormatting sqref="E8 E33 E10">
    <cfRule type="expression" dxfId="165" priority="29">
      <formula>MOD(ROW(),2)=1</formula>
    </cfRule>
  </conditionalFormatting>
  <conditionalFormatting sqref="E30:E32">
    <cfRule type="expression" dxfId="164" priority="30">
      <formula>MOD(ROW(),2)=0</formula>
    </cfRule>
  </conditionalFormatting>
  <conditionalFormatting sqref="E30:E32">
    <cfRule type="expression" dxfId="163" priority="31">
      <formula>MOD(ROW(),2)=1</formula>
    </cfRule>
  </conditionalFormatting>
  <conditionalFormatting sqref="E34:E38">
    <cfRule type="expression" dxfId="162" priority="32">
      <formula>MOD(ROW(),2)=0</formula>
    </cfRule>
  </conditionalFormatting>
  <conditionalFormatting sqref="E34:E38">
    <cfRule type="expression" dxfId="161" priority="33">
      <formula>MOD(ROW(),2)=1</formula>
    </cfRule>
  </conditionalFormatting>
  <conditionalFormatting sqref="A22 C22">
    <cfRule type="expression" dxfId="160" priority="34">
      <formula>MOD(ROW(),2)=0</formula>
    </cfRule>
  </conditionalFormatting>
  <conditionalFormatting sqref="A13:D13 A18:D18 A14:C17">
    <cfRule type="expression" dxfId="159" priority="35">
      <formula>MOD(ROW(),2)=0</formula>
    </cfRule>
  </conditionalFormatting>
  <conditionalFormatting sqref="E13:E18">
    <cfRule type="expression" dxfId="158" priority="36">
      <formula>MOD(ROW(),2)=0</formula>
    </cfRule>
  </conditionalFormatting>
  <conditionalFormatting sqref="E13:E18">
    <cfRule type="expression" dxfId="157" priority="37">
      <formula>MOD(ROW(),2)=1</formula>
    </cfRule>
  </conditionalFormatting>
  <conditionalFormatting sqref="D31">
    <cfRule type="expression" dxfId="156" priority="38">
      <formula>MOD(ROW(),2)=0</formula>
    </cfRule>
  </conditionalFormatting>
  <conditionalFormatting sqref="A23 C23">
    <cfRule type="expression" dxfId="155" priority="26">
      <formula>MOD(ROW(),2)=0</formula>
    </cfRule>
  </conditionalFormatting>
  <conditionalFormatting sqref="D23">
    <cfRule type="expression" dxfId="154" priority="25">
      <formula>MOD(ROW(),2)=0</formula>
    </cfRule>
  </conditionalFormatting>
  <conditionalFormatting sqref="D32">
    <cfRule type="expression" dxfId="153" priority="24">
      <formula>MOD(ROW(),2)=0</formula>
    </cfRule>
  </conditionalFormatting>
  <conditionalFormatting sqref="D33">
    <cfRule type="expression" dxfId="152" priority="23">
      <formula>MOD(ROW(),2)=0</formula>
    </cfRule>
  </conditionalFormatting>
  <conditionalFormatting sqref="A9:D9">
    <cfRule type="expression" dxfId="151" priority="20">
      <formula>MOD(ROW(),2)=0</formula>
    </cfRule>
  </conditionalFormatting>
  <conditionalFormatting sqref="A12:D12">
    <cfRule type="expression" dxfId="150" priority="17">
      <formula>MOD(ROW(),2)=0</formula>
    </cfRule>
  </conditionalFormatting>
  <conditionalFormatting sqref="E9">
    <cfRule type="expression" dxfId="149" priority="21">
      <formula>MOD(ROW(),2)=0</formula>
    </cfRule>
  </conditionalFormatting>
  <conditionalFormatting sqref="E9">
    <cfRule type="expression" dxfId="148" priority="22">
      <formula>MOD(ROW(),2)=1</formula>
    </cfRule>
  </conditionalFormatting>
  <conditionalFormatting sqref="E12">
    <cfRule type="expression" dxfId="147" priority="18">
      <formula>MOD(ROW(),2)=0</formula>
    </cfRule>
  </conditionalFormatting>
  <conditionalFormatting sqref="E12">
    <cfRule type="expression" dxfId="146" priority="19">
      <formula>MOD(ROW(),2)=1</formula>
    </cfRule>
  </conditionalFormatting>
  <conditionalFormatting sqref="A11 C11:D11">
    <cfRule type="expression" dxfId="145" priority="39">
      <formula>MOD(ROW(),2)=0</formula>
    </cfRule>
  </conditionalFormatting>
  <conditionalFormatting sqref="E11">
    <cfRule type="expression" dxfId="144" priority="15">
      <formula>MOD(ROW(),2)=0</formula>
    </cfRule>
  </conditionalFormatting>
  <conditionalFormatting sqref="E11">
    <cfRule type="expression" dxfId="143" priority="16">
      <formula>MOD(ROW(),2)=1</formula>
    </cfRule>
  </conditionalFormatting>
  <conditionalFormatting sqref="E19">
    <cfRule type="expression" dxfId="142" priority="40">
      <formula>MOD(ROW(),2)=0</formula>
    </cfRule>
  </conditionalFormatting>
  <conditionalFormatting sqref="E19">
    <cfRule type="expression" dxfId="141" priority="41">
      <formula>MOD(ROW(),2)=1</formula>
    </cfRule>
  </conditionalFormatting>
  <conditionalFormatting sqref="D40">
    <cfRule type="expression" dxfId="140" priority="42">
      <formula>MOD(ROW(),2)=0</formula>
    </cfRule>
  </conditionalFormatting>
  <conditionalFormatting sqref="D24">
    <cfRule type="expression" dxfId="139" priority="5">
      <formula>MOD(ROW(),2)=0</formula>
    </cfRule>
  </conditionalFormatting>
  <conditionalFormatting sqref="D14:D15">
    <cfRule type="expression" dxfId="138" priority="43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93BD5-D17A-4A4C-9C3E-2ABF5B4CC3CA}">
  <sheetPr>
    <tabColor theme="9" tint="0.79998168889431442"/>
  </sheetPr>
  <dimension ref="A1:E37"/>
  <sheetViews>
    <sheetView workbookViewId="0">
      <selection sqref="A1:E37"/>
    </sheetView>
  </sheetViews>
  <sheetFormatPr defaultRowHeight="15" x14ac:dyDescent="0.25"/>
  <cols>
    <col min="1" max="1" width="40.28515625" customWidth="1"/>
    <col min="2" max="2" width="21.7109375" customWidth="1"/>
    <col min="3" max="3" width="25.28515625" customWidth="1"/>
    <col min="4" max="4" width="29.28515625" customWidth="1"/>
    <col min="5" max="5" width="17.28515625" customWidth="1"/>
  </cols>
  <sheetData>
    <row r="1" spans="1:5" ht="77.25" customHeight="1" thickBot="1" x14ac:dyDescent="0.3">
      <c r="A1" s="67" t="s">
        <v>28</v>
      </c>
      <c r="B1" s="68"/>
      <c r="C1" s="68"/>
      <c r="D1" s="68"/>
      <c r="E1" s="69"/>
    </row>
    <row r="2" spans="1:5" ht="15.75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27" customHeight="1" x14ac:dyDescent="0.25">
      <c r="A4" s="54" t="s">
        <v>159</v>
      </c>
      <c r="B4" s="6"/>
      <c r="C4" s="6"/>
      <c r="D4" s="6"/>
      <c r="E4" s="6"/>
    </row>
    <row r="5" spans="1:5" ht="32.25" customHeight="1" x14ac:dyDescent="0.25">
      <c r="A5" s="65" t="s">
        <v>1</v>
      </c>
      <c r="B5" s="66"/>
      <c r="C5" s="66"/>
      <c r="D5" s="66"/>
      <c r="E5" s="66"/>
    </row>
    <row r="6" spans="1:5" x14ac:dyDescent="0.25">
      <c r="A6" s="55"/>
      <c r="B6" s="55"/>
      <c r="C6" s="55"/>
      <c r="D6" s="55"/>
      <c r="E6" s="55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v>79670.02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37</v>
      </c>
      <c r="E9" s="13">
        <v>13145.55</v>
      </c>
    </row>
    <row r="10" spans="1:5" ht="45" x14ac:dyDescent="0.25">
      <c r="A10" s="10" t="s">
        <v>7</v>
      </c>
      <c r="B10" s="10" t="str">
        <f t="array" ref="B10">IFERROR(INDEX(#REF!,SMALL(IF(#REF!=rngInvoice,ROW(#REF!)-ROW(#REF!)), ROW(1:1)), MATCH($B$7,#REF!, 0)),"")</f>
        <v/>
      </c>
      <c r="C10" s="11" t="str">
        <f t="array" ref="C10">IFERROR(INDEX(#REF!,SMALL(IF(#REF!=rngInvoice,ROW(#REF!)-ROW(#REF!)), ROW(1:1)), MATCH($C$7,#REF!, 0)),"")</f>
        <v/>
      </c>
      <c r="D10" s="12" t="s">
        <v>35</v>
      </c>
      <c r="E10" s="13">
        <v>740.76</v>
      </c>
    </row>
    <row r="11" spans="1:5" ht="30" x14ac:dyDescent="0.25">
      <c r="A11" s="35" t="s">
        <v>90</v>
      </c>
      <c r="B11" s="23">
        <v>43616114716</v>
      </c>
      <c r="C11" s="24" t="s">
        <v>45</v>
      </c>
      <c r="D11" s="25" t="s">
        <v>24</v>
      </c>
      <c r="E11" s="13">
        <v>40.51</v>
      </c>
    </row>
    <row r="12" spans="1:5" x14ac:dyDescent="0.25">
      <c r="A12" s="35" t="s">
        <v>165</v>
      </c>
      <c r="B12" s="23"/>
      <c r="C12" s="24"/>
      <c r="D12" s="12" t="s">
        <v>157</v>
      </c>
      <c r="E12" s="13">
        <v>729</v>
      </c>
    </row>
    <row r="13" spans="1:5" x14ac:dyDescent="0.25">
      <c r="A13" s="35" t="s">
        <v>127</v>
      </c>
      <c r="B13" s="23">
        <v>25823292144</v>
      </c>
      <c r="C13" s="24" t="s">
        <v>45</v>
      </c>
      <c r="D13" s="25" t="s">
        <v>21</v>
      </c>
      <c r="E13" s="13">
        <v>250</v>
      </c>
    </row>
    <row r="14" spans="1:5" x14ac:dyDescent="0.25">
      <c r="A14" s="23" t="s">
        <v>7</v>
      </c>
      <c r="B14" s="23"/>
      <c r="C14" s="24"/>
      <c r="D14" s="25" t="s">
        <v>71</v>
      </c>
      <c r="E14" s="13">
        <v>24</v>
      </c>
    </row>
    <row r="15" spans="1:5" x14ac:dyDescent="0.25">
      <c r="A15" s="10" t="s">
        <v>10</v>
      </c>
      <c r="B15" s="30">
        <v>18683136487</v>
      </c>
      <c r="C15" s="11" t="s">
        <v>11</v>
      </c>
      <c r="D15" s="12" t="s">
        <v>38</v>
      </c>
      <c r="E15" s="13">
        <v>168</v>
      </c>
    </row>
    <row r="16" spans="1:5" x14ac:dyDescent="0.25">
      <c r="A16" s="10" t="s">
        <v>155</v>
      </c>
      <c r="B16" s="29">
        <v>9427956589</v>
      </c>
      <c r="C16" s="11" t="s">
        <v>156</v>
      </c>
      <c r="D16" s="12" t="s">
        <v>52</v>
      </c>
      <c r="E16" s="13">
        <v>420.75</v>
      </c>
    </row>
    <row r="17" spans="1:5" ht="30" x14ac:dyDescent="0.25">
      <c r="A17" s="10" t="s">
        <v>17</v>
      </c>
      <c r="B17" s="29">
        <v>81793146560</v>
      </c>
      <c r="C17" s="11" t="s">
        <v>11</v>
      </c>
      <c r="D17" s="12" t="s">
        <v>16</v>
      </c>
      <c r="E17" s="13">
        <f>50.78+23.49</f>
        <v>74.27</v>
      </c>
    </row>
    <row r="18" spans="1:5" x14ac:dyDescent="0.25">
      <c r="A18" s="10" t="s">
        <v>17</v>
      </c>
      <c r="B18" s="29">
        <v>81793146560</v>
      </c>
      <c r="C18" s="11" t="s">
        <v>11</v>
      </c>
      <c r="D18" s="12" t="s">
        <v>50</v>
      </c>
      <c r="E18" s="13">
        <f>0.01+0.04</f>
        <v>0.05</v>
      </c>
    </row>
    <row r="19" spans="1:5" x14ac:dyDescent="0.25">
      <c r="A19" s="23" t="s">
        <v>47</v>
      </c>
      <c r="B19" s="23">
        <v>43965974818</v>
      </c>
      <c r="C19" s="24" t="s">
        <v>11</v>
      </c>
      <c r="D19" s="11" t="s">
        <v>19</v>
      </c>
      <c r="E19" s="13">
        <f>8.55+8.94+2.85</f>
        <v>20.340000000000003</v>
      </c>
    </row>
    <row r="20" spans="1:5" x14ac:dyDescent="0.25">
      <c r="A20" s="10" t="s">
        <v>18</v>
      </c>
      <c r="B20" s="29">
        <v>63073332379</v>
      </c>
      <c r="C20" s="11" t="s">
        <v>11</v>
      </c>
      <c r="D20" s="11" t="s">
        <v>19</v>
      </c>
      <c r="E20" s="13">
        <v>215.68</v>
      </c>
    </row>
    <row r="21" spans="1:5" x14ac:dyDescent="0.25">
      <c r="A21" s="10" t="s">
        <v>20</v>
      </c>
      <c r="B21" s="10">
        <v>85821130368</v>
      </c>
      <c r="C21" s="11" t="s">
        <v>11</v>
      </c>
      <c r="D21" s="11" t="s">
        <v>21</v>
      </c>
      <c r="E21" s="13">
        <f>1.66+64.7</f>
        <v>66.36</v>
      </c>
    </row>
    <row r="22" spans="1:5" x14ac:dyDescent="0.25">
      <c r="A22" s="10" t="s">
        <v>22</v>
      </c>
      <c r="B22" s="29">
        <v>41317489366</v>
      </c>
      <c r="C22" s="11" t="s">
        <v>23</v>
      </c>
      <c r="D22" s="11" t="s">
        <v>19</v>
      </c>
      <c r="E22" s="13">
        <f>2.4+149.84</f>
        <v>152.24</v>
      </c>
    </row>
    <row r="23" spans="1:5" x14ac:dyDescent="0.25">
      <c r="A23" s="10" t="s">
        <v>48</v>
      </c>
      <c r="B23" s="10">
        <v>97575612726</v>
      </c>
      <c r="C23" s="11" t="s">
        <v>45</v>
      </c>
      <c r="D23" s="12" t="s">
        <v>13</v>
      </c>
      <c r="E23" s="13">
        <f>68.24+11.24+11.24+11.96+11.96</f>
        <v>114.63999999999999</v>
      </c>
    </row>
    <row r="24" spans="1:5" x14ac:dyDescent="0.25">
      <c r="A24" s="10" t="s">
        <v>49</v>
      </c>
      <c r="B24" s="10">
        <v>71442681806</v>
      </c>
      <c r="C24" s="11" t="s">
        <v>45</v>
      </c>
      <c r="D24" s="12" t="s">
        <v>13</v>
      </c>
      <c r="E24" s="13">
        <f>5.54+33.5+10.67</f>
        <v>49.71</v>
      </c>
    </row>
    <row r="25" spans="1:5" ht="30" x14ac:dyDescent="0.25">
      <c r="A25" s="10" t="s">
        <v>14</v>
      </c>
      <c r="B25" s="10">
        <v>87311810356</v>
      </c>
      <c r="C25" s="11" t="s">
        <v>15</v>
      </c>
      <c r="D25" s="12" t="s">
        <v>16</v>
      </c>
      <c r="E25" s="13">
        <v>9.4600000000000009</v>
      </c>
    </row>
    <row r="26" spans="1:5" x14ac:dyDescent="0.25">
      <c r="A26" s="10" t="s">
        <v>73</v>
      </c>
      <c r="B26" s="10">
        <v>27332507825</v>
      </c>
      <c r="C26" s="11" t="s">
        <v>74</v>
      </c>
      <c r="D26" s="12" t="s">
        <v>75</v>
      </c>
      <c r="E26" s="13">
        <v>62.5</v>
      </c>
    </row>
    <row r="27" spans="1:5" ht="30" x14ac:dyDescent="0.25">
      <c r="A27" s="10" t="s">
        <v>54</v>
      </c>
      <c r="B27" s="10">
        <v>47414897452</v>
      </c>
      <c r="C27" s="11" t="s">
        <v>55</v>
      </c>
      <c r="D27" s="12" t="s">
        <v>24</v>
      </c>
      <c r="E27" s="13">
        <v>2.4700000000000002</v>
      </c>
    </row>
    <row r="28" spans="1:5" x14ac:dyDescent="0.25">
      <c r="A28" s="10" t="s">
        <v>163</v>
      </c>
      <c r="B28" s="10"/>
      <c r="C28" s="11"/>
      <c r="D28" s="25" t="s">
        <v>52</v>
      </c>
      <c r="E28" s="13">
        <v>28</v>
      </c>
    </row>
    <row r="29" spans="1:5" x14ac:dyDescent="0.25">
      <c r="A29" s="10" t="s">
        <v>164</v>
      </c>
      <c r="B29" s="10"/>
      <c r="C29" s="11"/>
      <c r="D29" s="25" t="s">
        <v>139</v>
      </c>
      <c r="E29" s="13">
        <v>90</v>
      </c>
    </row>
    <row r="30" spans="1:5" ht="30" x14ac:dyDescent="0.25">
      <c r="A30" s="36" t="s">
        <v>87</v>
      </c>
      <c r="B30" s="10"/>
      <c r="C30" s="37"/>
      <c r="D30" s="12" t="s">
        <v>24</v>
      </c>
      <c r="E30" s="13">
        <v>174.1</v>
      </c>
    </row>
    <row r="31" spans="1:5" x14ac:dyDescent="0.25">
      <c r="A31" s="23" t="s">
        <v>78</v>
      </c>
      <c r="B31" s="35">
        <v>68419124305</v>
      </c>
      <c r="C31" s="24" t="s">
        <v>11</v>
      </c>
      <c r="D31" s="25" t="s">
        <v>38</v>
      </c>
      <c r="E31" s="13">
        <f>10.62+10.62</f>
        <v>21.24</v>
      </c>
    </row>
    <row r="32" spans="1:5" ht="30" x14ac:dyDescent="0.25">
      <c r="A32" s="23" t="s">
        <v>132</v>
      </c>
      <c r="B32" s="35">
        <v>1634935563</v>
      </c>
      <c r="C32" s="24" t="s">
        <v>93</v>
      </c>
      <c r="D32" s="25" t="s">
        <v>161</v>
      </c>
      <c r="E32" s="13">
        <v>300.88</v>
      </c>
    </row>
    <row r="33" spans="1:5" ht="30" x14ac:dyDescent="0.25">
      <c r="A33" s="23" t="s">
        <v>132</v>
      </c>
      <c r="B33" s="35">
        <v>1634935563</v>
      </c>
      <c r="C33" s="24" t="s">
        <v>93</v>
      </c>
      <c r="D33" s="25" t="s">
        <v>24</v>
      </c>
      <c r="E33" s="13">
        <f>9.95+6.99</f>
        <v>16.939999999999998</v>
      </c>
    </row>
    <row r="34" spans="1:5" ht="30" x14ac:dyDescent="0.25">
      <c r="A34" s="23" t="s">
        <v>162</v>
      </c>
      <c r="B34" s="35"/>
      <c r="C34" s="24"/>
      <c r="D34" s="25" t="s">
        <v>24</v>
      </c>
      <c r="E34" s="13">
        <v>8.5399999999999991</v>
      </c>
    </row>
    <row r="35" spans="1:5" x14ac:dyDescent="0.25">
      <c r="A35" s="16" t="s">
        <v>26</v>
      </c>
      <c r="B35" s="16"/>
      <c r="C35" s="17"/>
      <c r="D35" s="17"/>
      <c r="E35" s="18">
        <f>SUM(E8:E34)</f>
        <v>96596.010000000024</v>
      </c>
    </row>
    <row r="36" spans="1:5" x14ac:dyDescent="0.25">
      <c r="A36" s="55"/>
      <c r="B36" s="55"/>
      <c r="C36" s="55"/>
      <c r="D36" s="55"/>
      <c r="E36" s="55"/>
    </row>
    <row r="37" spans="1:5" x14ac:dyDescent="0.25">
      <c r="A37" s="41" t="s">
        <v>160</v>
      </c>
      <c r="B37" s="55"/>
      <c r="C37" s="55"/>
      <c r="D37" s="55"/>
      <c r="E37" s="55"/>
    </row>
  </sheetData>
  <mergeCells count="6">
    <mergeCell ref="A5:E5"/>
    <mergeCell ref="A1:E1"/>
    <mergeCell ref="A2:B2"/>
    <mergeCell ref="D2:E2"/>
    <mergeCell ref="A3:B3"/>
    <mergeCell ref="D3:E3"/>
  </mergeCells>
  <conditionalFormatting sqref="D28:D29 A15:A16 A19:A22 C19:D22 A11:C13 D11 A25:C26 A30:D35">
    <cfRule type="expression" dxfId="137" priority="1">
      <formula>MOD(ROW(),2)=0</formula>
    </cfRule>
  </conditionalFormatting>
  <conditionalFormatting sqref="E10:E25 E27:E35">
    <cfRule type="expression" dxfId="136" priority="2">
      <formula>MOD(ROW(),2)=0</formula>
    </cfRule>
  </conditionalFormatting>
  <conditionalFormatting sqref="E10:E25 E27:E35">
    <cfRule type="expression" dxfId="135" priority="3">
      <formula>MOD(ROW(),2)=1</formula>
    </cfRule>
  </conditionalFormatting>
  <conditionalFormatting sqref="C15:D16">
    <cfRule type="expression" dxfId="134" priority="6">
      <formula>MOD(ROW(),2)=0</formula>
    </cfRule>
  </conditionalFormatting>
  <conditionalFormatting sqref="D12:D13">
    <cfRule type="expression" dxfId="133" priority="7">
      <formula>MOD(ROW(),2)=0</formula>
    </cfRule>
  </conditionalFormatting>
  <conditionalFormatting sqref="A27:D27 A28:C29">
    <cfRule type="expression" dxfId="132" priority="8">
      <formula>MOD(ROW(),2)=0</formula>
    </cfRule>
  </conditionalFormatting>
  <conditionalFormatting sqref="D17 A23:D24 A8:D8">
    <cfRule type="expression" dxfId="131" priority="21">
      <formula>MOD(ROW(),2)=0</formula>
    </cfRule>
  </conditionalFormatting>
  <conditionalFormatting sqref="E26 E8">
    <cfRule type="expression" dxfId="130" priority="22">
      <formula>MOD(ROW(),2)=0</formula>
    </cfRule>
  </conditionalFormatting>
  <conditionalFormatting sqref="E26 E8">
    <cfRule type="expression" dxfId="129" priority="23">
      <formula>MOD(ROW(),2)=1</formula>
    </cfRule>
  </conditionalFormatting>
  <conditionalFormatting sqref="A17 C17">
    <cfRule type="expression" dxfId="128" priority="28">
      <formula>MOD(ROW(),2)=0</formula>
    </cfRule>
  </conditionalFormatting>
  <conditionalFormatting sqref="A10:D10 A14:D14">
    <cfRule type="expression" dxfId="127" priority="29">
      <formula>MOD(ROW(),2)=0</formula>
    </cfRule>
  </conditionalFormatting>
  <conditionalFormatting sqref="A18 C18">
    <cfRule type="expression" dxfId="126" priority="20">
      <formula>MOD(ROW(),2)=0</formula>
    </cfRule>
  </conditionalFormatting>
  <conditionalFormatting sqref="D18">
    <cfRule type="expression" dxfId="125" priority="19">
      <formula>MOD(ROW(),2)=0</formula>
    </cfRule>
  </conditionalFormatting>
  <conditionalFormatting sqref="D25">
    <cfRule type="expression" dxfId="124" priority="18">
      <formula>MOD(ROW(),2)=0</formula>
    </cfRule>
  </conditionalFormatting>
  <conditionalFormatting sqref="D26">
    <cfRule type="expression" dxfId="123" priority="17">
      <formula>MOD(ROW(),2)=0</formula>
    </cfRule>
  </conditionalFormatting>
  <conditionalFormatting sqref="A9:D9">
    <cfRule type="expression" dxfId="122" priority="11">
      <formula>MOD(ROW(),2)=0</formula>
    </cfRule>
  </conditionalFormatting>
  <conditionalFormatting sqref="E9">
    <cfRule type="expression" dxfId="121" priority="12">
      <formula>MOD(ROW(),2)=0</formula>
    </cfRule>
  </conditionalFormatting>
  <conditionalFormatting sqref="E9">
    <cfRule type="expression" dxfId="120" priority="13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A0321-5A27-466F-8112-696358B1BE43}">
  <sheetPr>
    <tabColor theme="6" tint="0.59999389629810485"/>
  </sheetPr>
  <dimension ref="A1:E39"/>
  <sheetViews>
    <sheetView workbookViewId="0">
      <selection sqref="A1:E39"/>
    </sheetView>
  </sheetViews>
  <sheetFormatPr defaultRowHeight="15" x14ac:dyDescent="0.25"/>
  <cols>
    <col min="1" max="1" width="38.140625" customWidth="1"/>
    <col min="2" max="2" width="20.140625" customWidth="1"/>
    <col min="3" max="3" width="24.7109375" customWidth="1"/>
    <col min="4" max="4" width="30.140625" customWidth="1"/>
    <col min="5" max="5" width="20.5703125" customWidth="1"/>
  </cols>
  <sheetData>
    <row r="1" spans="1:5" ht="75.75" customHeight="1" thickBot="1" x14ac:dyDescent="0.3">
      <c r="A1" s="67" t="s">
        <v>28</v>
      </c>
      <c r="B1" s="68"/>
      <c r="C1" s="68"/>
      <c r="D1" s="68"/>
      <c r="E1" s="69"/>
    </row>
    <row r="2" spans="1:5" ht="45.75" customHeight="1" thickTop="1" x14ac:dyDescent="0.25">
      <c r="A2" s="70" t="s">
        <v>29</v>
      </c>
      <c r="B2" s="71"/>
      <c r="C2" s="21" t="s">
        <v>31</v>
      </c>
      <c r="D2" s="74" t="s">
        <v>33</v>
      </c>
      <c r="E2" s="75"/>
    </row>
    <row r="3" spans="1:5" ht="45" customHeight="1" x14ac:dyDescent="0.25">
      <c r="A3" s="72" t="s">
        <v>30</v>
      </c>
      <c r="B3" s="73"/>
      <c r="C3" s="22" t="s">
        <v>32</v>
      </c>
      <c r="D3" s="76" t="s">
        <v>34</v>
      </c>
      <c r="E3" s="73"/>
    </row>
    <row r="4" spans="1:5" ht="25.5" customHeight="1" x14ac:dyDescent="0.25">
      <c r="A4" s="56" t="s">
        <v>166</v>
      </c>
      <c r="B4" s="6"/>
      <c r="C4" s="6"/>
      <c r="D4" s="6"/>
      <c r="E4" s="6"/>
    </row>
    <row r="5" spans="1:5" ht="25.5" customHeight="1" x14ac:dyDescent="0.25">
      <c r="A5" s="65" t="s">
        <v>1</v>
      </c>
      <c r="B5" s="66"/>
      <c r="C5" s="66"/>
      <c r="D5" s="66"/>
      <c r="E5" s="66"/>
    </row>
    <row r="6" spans="1:5" x14ac:dyDescent="0.25">
      <c r="A6" s="57"/>
      <c r="B6" s="57"/>
      <c r="C6" s="57"/>
      <c r="D6" s="57"/>
      <c r="E6" s="57"/>
    </row>
    <row r="7" spans="1:5" ht="18" x14ac:dyDescent="0.25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x14ac:dyDescent="0.25">
      <c r="A8" s="10" t="s">
        <v>7</v>
      </c>
      <c r="B8" s="10"/>
      <c r="C8" s="11"/>
      <c r="D8" s="12" t="s">
        <v>36</v>
      </c>
      <c r="E8" s="13">
        <v>74984.61</v>
      </c>
    </row>
    <row r="9" spans="1:5" ht="30" x14ac:dyDescent="0.25">
      <c r="A9" s="10" t="s">
        <v>7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37</v>
      </c>
      <c r="E9" s="13">
        <v>12372.47</v>
      </c>
    </row>
    <row r="10" spans="1:5" ht="45" x14ac:dyDescent="0.25">
      <c r="A10" s="10" t="s">
        <v>7</v>
      </c>
      <c r="B10" s="10" t="str">
        <f t="array" ref="B10">IFERROR(INDEX(#REF!,SMALL(IF(#REF!=rngInvoice,ROW(#REF!)-ROW(#REF!)), ROW(1:1)), MATCH($B$7,#REF!, 0)),"")</f>
        <v/>
      </c>
      <c r="C10" s="11" t="str">
        <f t="array" ref="C10">IFERROR(INDEX(#REF!,SMALL(IF(#REF!=rngInvoice,ROW(#REF!)-ROW(#REF!)), ROW(1:1)), MATCH($C$7,#REF!, 0)),"")</f>
        <v/>
      </c>
      <c r="D10" s="12" t="s">
        <v>35</v>
      </c>
      <c r="E10" s="13">
        <v>429.59</v>
      </c>
    </row>
    <row r="11" spans="1:5" s="57" customFormat="1" ht="30" x14ac:dyDescent="0.25">
      <c r="A11" s="23" t="s">
        <v>7</v>
      </c>
      <c r="B11" s="23"/>
      <c r="C11" s="24"/>
      <c r="D11" s="25" t="s">
        <v>174</v>
      </c>
      <c r="E11" s="13">
        <f>444.29+441.44+2299.89+220.72</f>
        <v>3406.3399999999997</v>
      </c>
    </row>
    <row r="12" spans="1:5" ht="30" x14ac:dyDescent="0.25">
      <c r="A12" s="35" t="s">
        <v>162</v>
      </c>
      <c r="B12" s="23"/>
      <c r="C12" s="24"/>
      <c r="D12" s="25" t="s">
        <v>24</v>
      </c>
      <c r="E12" s="13">
        <v>8.5</v>
      </c>
    </row>
    <row r="13" spans="1:5" x14ac:dyDescent="0.25">
      <c r="A13" s="35" t="s">
        <v>51</v>
      </c>
      <c r="B13" s="23">
        <v>45594774168</v>
      </c>
      <c r="C13" s="24" t="s">
        <v>45</v>
      </c>
      <c r="D13" s="12" t="s">
        <v>52</v>
      </c>
      <c r="E13" s="13">
        <v>10.5</v>
      </c>
    </row>
    <row r="14" spans="1:5" ht="30" x14ac:dyDescent="0.25">
      <c r="A14" s="35" t="s">
        <v>56</v>
      </c>
      <c r="B14" s="23">
        <v>35321872873</v>
      </c>
      <c r="C14" s="24" t="s">
        <v>57</v>
      </c>
      <c r="D14" s="25" t="s">
        <v>58</v>
      </c>
      <c r="E14" s="13">
        <v>64.599999999999994</v>
      </c>
    </row>
    <row r="15" spans="1:5" x14ac:dyDescent="0.25">
      <c r="A15" s="23" t="s">
        <v>7</v>
      </c>
      <c r="B15" s="23"/>
      <c r="C15" s="24"/>
      <c r="D15" s="25" t="s">
        <v>71</v>
      </c>
      <c r="E15" s="13">
        <v>347.88</v>
      </c>
    </row>
    <row r="16" spans="1:5" x14ac:dyDescent="0.25">
      <c r="A16" s="10" t="s">
        <v>10</v>
      </c>
      <c r="B16" s="30">
        <v>18683136487</v>
      </c>
      <c r="C16" s="11" t="s">
        <v>11</v>
      </c>
      <c r="D16" s="12" t="s">
        <v>38</v>
      </c>
      <c r="E16" s="13">
        <v>168</v>
      </c>
    </row>
    <row r="17" spans="1:5" ht="30" x14ac:dyDescent="0.25">
      <c r="A17" s="10" t="s">
        <v>88</v>
      </c>
      <c r="B17" s="29">
        <v>71559085353</v>
      </c>
      <c r="C17" s="11" t="s">
        <v>89</v>
      </c>
      <c r="D17" s="12" t="s">
        <v>24</v>
      </c>
      <c r="E17" s="13">
        <v>162.94999999999999</v>
      </c>
    </row>
    <row r="18" spans="1:5" ht="30" x14ac:dyDescent="0.25">
      <c r="A18" s="10" t="s">
        <v>17</v>
      </c>
      <c r="B18" s="29">
        <v>81793146560</v>
      </c>
      <c r="C18" s="11" t="s">
        <v>11</v>
      </c>
      <c r="D18" s="12" t="s">
        <v>16</v>
      </c>
      <c r="E18" s="13">
        <v>74.53</v>
      </c>
    </row>
    <row r="19" spans="1:5" ht="30" x14ac:dyDescent="0.25">
      <c r="A19" s="10" t="s">
        <v>170</v>
      </c>
      <c r="B19" s="29">
        <v>70059005746</v>
      </c>
      <c r="C19" s="11" t="s">
        <v>45</v>
      </c>
      <c r="D19" s="12" t="s">
        <v>27</v>
      </c>
      <c r="E19" s="13">
        <f>25.54+0.18</f>
        <v>25.72</v>
      </c>
    </row>
    <row r="20" spans="1:5" s="57" customFormat="1" ht="30" x14ac:dyDescent="0.25">
      <c r="A20" s="10" t="s">
        <v>170</v>
      </c>
      <c r="B20" s="29">
        <v>70059005746</v>
      </c>
      <c r="C20" s="11" t="s">
        <v>45</v>
      </c>
      <c r="D20" s="25" t="s">
        <v>58</v>
      </c>
      <c r="E20" s="13">
        <v>58.26</v>
      </c>
    </row>
    <row r="21" spans="1:5" x14ac:dyDescent="0.25">
      <c r="A21" s="23" t="s">
        <v>47</v>
      </c>
      <c r="B21" s="23">
        <v>43965974818</v>
      </c>
      <c r="C21" s="24" t="s">
        <v>11</v>
      </c>
      <c r="D21" s="11" t="s">
        <v>19</v>
      </c>
      <c r="E21" s="13">
        <v>2.85</v>
      </c>
    </row>
    <row r="22" spans="1:5" x14ac:dyDescent="0.25">
      <c r="A22" s="10" t="s">
        <v>18</v>
      </c>
      <c r="B22" s="29">
        <v>63073332379</v>
      </c>
      <c r="C22" s="11" t="s">
        <v>11</v>
      </c>
      <c r="D22" s="11" t="s">
        <v>19</v>
      </c>
      <c r="E22" s="13">
        <v>189.44</v>
      </c>
    </row>
    <row r="23" spans="1:5" x14ac:dyDescent="0.25">
      <c r="A23" s="10" t="s">
        <v>20</v>
      </c>
      <c r="B23" s="10">
        <v>85821130368</v>
      </c>
      <c r="C23" s="11" t="s">
        <v>11</v>
      </c>
      <c r="D23" s="11" t="s">
        <v>21</v>
      </c>
      <c r="E23" s="13">
        <v>1.66</v>
      </c>
    </row>
    <row r="24" spans="1:5" x14ac:dyDescent="0.25">
      <c r="A24" s="10" t="s">
        <v>22</v>
      </c>
      <c r="B24" s="29">
        <v>41317489366</v>
      </c>
      <c r="C24" s="11" t="s">
        <v>23</v>
      </c>
      <c r="D24" s="11" t="s">
        <v>19</v>
      </c>
      <c r="E24" s="13">
        <f>61.31+1.4</f>
        <v>62.71</v>
      </c>
    </row>
    <row r="25" spans="1:5" x14ac:dyDescent="0.25">
      <c r="A25" s="10" t="s">
        <v>48</v>
      </c>
      <c r="B25" s="10">
        <v>97575612726</v>
      </c>
      <c r="C25" s="11" t="s">
        <v>45</v>
      </c>
      <c r="D25" s="12" t="s">
        <v>13</v>
      </c>
      <c r="E25" s="13">
        <f>86.24+11.96+11.96+12.68+11.24</f>
        <v>134.08000000000001</v>
      </c>
    </row>
    <row r="26" spans="1:5" x14ac:dyDescent="0.25">
      <c r="A26" s="10" t="s">
        <v>49</v>
      </c>
      <c r="B26" s="10">
        <v>71442681806</v>
      </c>
      <c r="C26" s="11" t="s">
        <v>45</v>
      </c>
      <c r="D26" s="12" t="s">
        <v>13</v>
      </c>
      <c r="E26" s="13">
        <f>7.8+13.51+10.67+5.54</f>
        <v>37.519999999999996</v>
      </c>
    </row>
    <row r="27" spans="1:5" ht="30" x14ac:dyDescent="0.25">
      <c r="A27" s="10" t="s">
        <v>14</v>
      </c>
      <c r="B27" s="10">
        <v>87311810356</v>
      </c>
      <c r="C27" s="11" t="s">
        <v>15</v>
      </c>
      <c r="D27" s="12" t="s">
        <v>16</v>
      </c>
      <c r="E27" s="13">
        <v>2.1</v>
      </c>
    </row>
    <row r="28" spans="1:5" x14ac:dyDescent="0.25">
      <c r="A28" s="10" t="s">
        <v>73</v>
      </c>
      <c r="B28" s="10">
        <v>27332507825</v>
      </c>
      <c r="C28" s="11" t="s">
        <v>74</v>
      </c>
      <c r="D28" s="12" t="s">
        <v>75</v>
      </c>
      <c r="E28" s="13">
        <v>62.5</v>
      </c>
    </row>
    <row r="29" spans="1:5" ht="30" x14ac:dyDescent="0.25">
      <c r="A29" s="10" t="s">
        <v>172</v>
      </c>
      <c r="B29" s="10">
        <v>29471249755</v>
      </c>
      <c r="C29" s="11" t="s">
        <v>173</v>
      </c>
      <c r="D29" s="12" t="s">
        <v>58</v>
      </c>
      <c r="E29" s="13">
        <v>17.989999999999998</v>
      </c>
    </row>
    <row r="30" spans="1:5" x14ac:dyDescent="0.25">
      <c r="A30" s="10" t="s">
        <v>91</v>
      </c>
      <c r="B30" s="10">
        <v>96591335948</v>
      </c>
      <c r="C30" s="11" t="s">
        <v>45</v>
      </c>
      <c r="D30" s="25" t="s">
        <v>13</v>
      </c>
      <c r="E30" s="13">
        <v>28.5</v>
      </c>
    </row>
    <row r="31" spans="1:5" x14ac:dyDescent="0.25">
      <c r="A31" s="10" t="s">
        <v>167</v>
      </c>
      <c r="B31" s="10">
        <v>60174672203</v>
      </c>
      <c r="C31" s="11" t="s">
        <v>168</v>
      </c>
      <c r="D31" s="25" t="s">
        <v>71</v>
      </c>
      <c r="E31" s="13">
        <v>289.8</v>
      </c>
    </row>
    <row r="32" spans="1:5" ht="30" x14ac:dyDescent="0.25">
      <c r="A32" s="36" t="s">
        <v>87</v>
      </c>
      <c r="B32" s="10"/>
      <c r="C32" s="37"/>
      <c r="D32" s="12" t="s">
        <v>24</v>
      </c>
      <c r="E32" s="13">
        <v>379.71</v>
      </c>
    </row>
    <row r="33" spans="1:5" x14ac:dyDescent="0.25">
      <c r="A33" s="23" t="s">
        <v>78</v>
      </c>
      <c r="B33" s="35">
        <v>68419124305</v>
      </c>
      <c r="C33" s="24" t="s">
        <v>11</v>
      </c>
      <c r="D33" s="25" t="s">
        <v>38</v>
      </c>
      <c r="E33" s="13">
        <v>10.62</v>
      </c>
    </row>
    <row r="34" spans="1:5" x14ac:dyDescent="0.25">
      <c r="A34" s="23" t="s">
        <v>76</v>
      </c>
      <c r="B34" s="35">
        <v>78661516143</v>
      </c>
      <c r="C34" s="24" t="s">
        <v>11</v>
      </c>
      <c r="D34" s="25" t="s">
        <v>77</v>
      </c>
      <c r="E34" s="13">
        <v>55</v>
      </c>
    </row>
    <row r="35" spans="1:5" ht="30" x14ac:dyDescent="0.25">
      <c r="A35" s="23" t="s">
        <v>171</v>
      </c>
      <c r="B35" s="35">
        <v>91958721295</v>
      </c>
      <c r="C35" s="24" t="s">
        <v>45</v>
      </c>
      <c r="D35" s="25" t="s">
        <v>24</v>
      </c>
      <c r="E35" s="13">
        <v>5</v>
      </c>
    </row>
    <row r="36" spans="1:5" x14ac:dyDescent="0.25">
      <c r="A36" s="23" t="s">
        <v>169</v>
      </c>
      <c r="B36" s="35">
        <v>75550985023</v>
      </c>
      <c r="C36" s="24" t="s">
        <v>11</v>
      </c>
      <c r="D36" s="11" t="s">
        <v>19</v>
      </c>
      <c r="E36" s="13">
        <v>107.1</v>
      </c>
    </row>
    <row r="37" spans="1:5" x14ac:dyDescent="0.25">
      <c r="A37" s="16" t="s">
        <v>26</v>
      </c>
      <c r="B37" s="16"/>
      <c r="C37" s="17"/>
      <c r="D37" s="17"/>
      <c r="E37" s="18">
        <f>SUM(E8:E36)</f>
        <v>93500.530000000042</v>
      </c>
    </row>
    <row r="38" spans="1:5" x14ac:dyDescent="0.25">
      <c r="A38" s="57"/>
      <c r="B38" s="57"/>
      <c r="C38" s="57"/>
      <c r="D38" s="57"/>
      <c r="E38" s="57"/>
    </row>
    <row r="39" spans="1:5" x14ac:dyDescent="0.25">
      <c r="A39" s="41" t="s">
        <v>175</v>
      </c>
      <c r="B39" s="57"/>
      <c r="C39" s="57"/>
      <c r="D39" s="57"/>
      <c r="E39" s="57"/>
    </row>
  </sheetData>
  <mergeCells count="6">
    <mergeCell ref="A5:E5"/>
    <mergeCell ref="A1:E1"/>
    <mergeCell ref="A2:B2"/>
    <mergeCell ref="D2:E2"/>
    <mergeCell ref="A3:B3"/>
    <mergeCell ref="D3:E3"/>
  </mergeCells>
  <conditionalFormatting sqref="D30:D31 A16:A17 A21:A24 C21:D24 A12:C14 D12 A27:C28 A32:D37">
    <cfRule type="expression" dxfId="119" priority="3">
      <formula>MOD(ROW(),2)=0</formula>
    </cfRule>
  </conditionalFormatting>
  <conditionalFormatting sqref="A20 C20">
    <cfRule type="expression" dxfId="118" priority="1">
      <formula>MOD(ROW(),2)=0</formula>
    </cfRule>
  </conditionalFormatting>
  <conditionalFormatting sqref="E10:E27 E29:E37">
    <cfRule type="expression" dxfId="117" priority="4">
      <formula>MOD(ROW(),2)=0</formula>
    </cfRule>
  </conditionalFormatting>
  <conditionalFormatting sqref="E10:E27 E29:E37">
    <cfRule type="expression" dxfId="116" priority="5">
      <formula>MOD(ROW(),2)=1</formula>
    </cfRule>
  </conditionalFormatting>
  <conditionalFormatting sqref="C16:D17">
    <cfRule type="expression" dxfId="115" priority="6">
      <formula>MOD(ROW(),2)=0</formula>
    </cfRule>
  </conditionalFormatting>
  <conditionalFormatting sqref="D13:D14">
    <cfRule type="expression" dxfId="114" priority="7">
      <formula>MOD(ROW(),2)=0</formula>
    </cfRule>
  </conditionalFormatting>
  <conditionalFormatting sqref="A29:D29 A30:C31">
    <cfRule type="expression" dxfId="113" priority="8">
      <formula>MOD(ROW(),2)=0</formula>
    </cfRule>
  </conditionalFormatting>
  <conditionalFormatting sqref="D18 A25:D26 A8:D8">
    <cfRule type="expression" dxfId="112" priority="16">
      <formula>MOD(ROW(),2)=0</formula>
    </cfRule>
  </conditionalFormatting>
  <conditionalFormatting sqref="E28 E8">
    <cfRule type="expression" dxfId="111" priority="17">
      <formula>MOD(ROW(),2)=0</formula>
    </cfRule>
  </conditionalFormatting>
  <conditionalFormatting sqref="E28 E8">
    <cfRule type="expression" dxfId="110" priority="18">
      <formula>MOD(ROW(),2)=1</formula>
    </cfRule>
  </conditionalFormatting>
  <conditionalFormatting sqref="A18 C18">
    <cfRule type="expression" dxfId="109" priority="19">
      <formula>MOD(ROW(),2)=0</formula>
    </cfRule>
  </conditionalFormatting>
  <conditionalFormatting sqref="A10:D11 A15:D15">
    <cfRule type="expression" dxfId="108" priority="20">
      <formula>MOD(ROW(),2)=0</formula>
    </cfRule>
  </conditionalFormatting>
  <conditionalFormatting sqref="A19 C19">
    <cfRule type="expression" dxfId="107" priority="15">
      <formula>MOD(ROW(),2)=0</formula>
    </cfRule>
  </conditionalFormatting>
  <conditionalFormatting sqref="D19:D20">
    <cfRule type="expression" dxfId="106" priority="14">
      <formula>MOD(ROW(),2)=0</formula>
    </cfRule>
  </conditionalFormatting>
  <conditionalFormatting sqref="D27">
    <cfRule type="expression" dxfId="105" priority="13">
      <formula>MOD(ROW(),2)=0</formula>
    </cfRule>
  </conditionalFormatting>
  <conditionalFormatting sqref="D28">
    <cfRule type="expression" dxfId="104" priority="12">
      <formula>MOD(ROW(),2)=0</formula>
    </cfRule>
  </conditionalFormatting>
  <conditionalFormatting sqref="A9:D9">
    <cfRule type="expression" dxfId="103" priority="9">
      <formula>MOD(ROW(),2)=0</formula>
    </cfRule>
  </conditionalFormatting>
  <conditionalFormatting sqref="E9">
    <cfRule type="expression" dxfId="102" priority="10">
      <formula>MOD(ROW(),2)=0</formula>
    </cfRule>
  </conditionalFormatting>
  <conditionalFormatting sqref="E9">
    <cfRule type="expression" dxfId="101" priority="11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2024-07-11T10:31:31Z</cp:lastPrinted>
  <dcterms:created xsi:type="dcterms:W3CDTF">2016-11-01T03:33:07Z</dcterms:created>
  <dcterms:modified xsi:type="dcterms:W3CDTF">2025-01-17T13:50:22Z</dcterms:modified>
</cp:coreProperties>
</file>